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lmantas\OneDrive\Desktop\"/>
    </mc:Choice>
  </mc:AlternateContent>
  <xr:revisionPtr revIDLastSave="0" documentId="13_ncr:1_{C3844DF5-85EF-4AE7-8A00-51E489F1173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keta" sheetId="1" r:id="rId1"/>
    <sheet name="Eilute" sheetId="2" state="hidden" r:id="rId2"/>
  </sheets>
  <definedNames>
    <definedName name="_xlnm.Print_Area" localSheetId="0">Anketa!$A$1:$K$82</definedName>
  </definedNames>
  <calcPr calcId="191029"/>
</workbook>
</file>

<file path=xl/calcChain.xml><?xml version="1.0" encoding="utf-8"?>
<calcChain xmlns="http://schemas.openxmlformats.org/spreadsheetml/2006/main">
  <c r="W21" i="1" l="1"/>
  <c r="V21" i="1" s="1"/>
  <c r="F21" i="1" s="1"/>
  <c r="W20" i="1"/>
  <c r="V20" i="1" s="1"/>
  <c r="F20" i="1" s="1"/>
  <c r="W19" i="1"/>
  <c r="Y19" i="1" s="1"/>
  <c r="S20" i="1"/>
  <c r="L20" i="1" s="1"/>
  <c r="S21" i="1"/>
  <c r="L21" i="1" s="1"/>
  <c r="P21" i="1"/>
  <c r="P20" i="1"/>
  <c r="U36" i="1"/>
  <c r="L37" i="1"/>
  <c r="W23" i="1"/>
  <c r="Y23" i="1" s="1"/>
  <c r="H23" i="1" s="1"/>
  <c r="S23" i="1"/>
  <c r="L23" i="1" s="1"/>
  <c r="P23" i="1"/>
  <c r="Y20" i="1" l="1"/>
  <c r="H20" i="1" s="1"/>
  <c r="Y21" i="1"/>
  <c r="H21" i="1" s="1"/>
  <c r="X20" i="1"/>
  <c r="G20" i="1" s="1"/>
  <c r="X21" i="1"/>
  <c r="G21" i="1" s="1"/>
  <c r="V23" i="1"/>
  <c r="F23" i="1" s="1"/>
  <c r="X23" i="1"/>
  <c r="G23" i="1" s="1"/>
  <c r="L53" i="1"/>
  <c r="W22" i="1"/>
  <c r="Y22" i="1" s="1"/>
  <c r="S22" i="1"/>
  <c r="L22" i="1" s="1"/>
  <c r="P22" i="1"/>
  <c r="X19" i="1"/>
  <c r="S19" i="1"/>
  <c r="P19" i="1"/>
  <c r="W18" i="1"/>
  <c r="Y18" i="1" s="1"/>
  <c r="S18" i="1"/>
  <c r="P18" i="1"/>
  <c r="W17" i="1"/>
  <c r="Y17" i="1" s="1"/>
  <c r="H17" i="1" s="1"/>
  <c r="S17" i="1"/>
  <c r="L17" i="1" s="1"/>
  <c r="P17" i="1"/>
  <c r="L18" i="1" l="1"/>
  <c r="L19" i="1"/>
  <c r="X22" i="1"/>
  <c r="G22" i="1" s="1"/>
  <c r="V17" i="1"/>
  <c r="F17" i="1" s="1"/>
  <c r="V22" i="1"/>
  <c r="F22" i="1" s="1"/>
  <c r="H22" i="1"/>
  <c r="H19" i="1"/>
  <c r="V19" i="1"/>
  <c r="F19" i="1" s="1"/>
  <c r="V18" i="1"/>
  <c r="F18" i="1" s="1"/>
  <c r="X18" i="1"/>
  <c r="G18" i="1" s="1"/>
  <c r="H18" i="1"/>
  <c r="G19" i="1"/>
  <c r="X17" i="1"/>
  <c r="G17" i="1" s="1"/>
  <c r="U32" i="1"/>
  <c r="S32" i="1"/>
  <c r="T32" i="1" s="1"/>
  <c r="P32" i="1"/>
  <c r="W49" i="1" l="1"/>
  <c r="Y49" i="1" s="1"/>
  <c r="H49" i="1" s="1"/>
  <c r="S49" i="1"/>
  <c r="P49" i="1"/>
  <c r="V49" i="1" l="1"/>
  <c r="F49" i="1" s="1"/>
  <c r="X49" i="1"/>
  <c r="G49" i="1" s="1"/>
  <c r="L52" i="1" l="1"/>
  <c r="S54" i="1"/>
  <c r="U54" i="1" s="1"/>
  <c r="W54" i="1" s="1"/>
  <c r="Y54" i="1" s="1"/>
  <c r="S53" i="1"/>
  <c r="U53" i="1" s="1"/>
  <c r="L54" i="1"/>
  <c r="X54" i="1" l="1"/>
  <c r="V54" i="1"/>
  <c r="S52" i="1"/>
  <c r="U52" i="1" s="1"/>
  <c r="L15" i="1"/>
  <c r="L16" i="1"/>
  <c r="S41" i="1" l="1"/>
  <c r="S60" i="1" l="1"/>
  <c r="U60" i="1" s="1"/>
  <c r="W60" i="1" s="1"/>
  <c r="S55" i="1"/>
  <c r="U55" i="1" s="1"/>
  <c r="W55" i="1" s="1"/>
  <c r="P55" i="1"/>
  <c r="V60" i="1" l="1"/>
  <c r="F60" i="1" s="1"/>
  <c r="X60" i="1"/>
  <c r="G60" i="1" s="1"/>
  <c r="V55" i="1"/>
  <c r="F55" i="1" s="1"/>
  <c r="Y55" i="1"/>
  <c r="H55" i="1" s="1"/>
  <c r="P60" i="1"/>
  <c r="S61" i="1" l="1"/>
  <c r="W47" i="1"/>
  <c r="V47" i="1" s="1"/>
  <c r="F47" i="1" s="1"/>
  <c r="S47" i="1"/>
  <c r="P47" i="1"/>
  <c r="W46" i="1"/>
  <c r="V46" i="1" s="1"/>
  <c r="U61" i="1" l="1"/>
  <c r="Y47" i="1"/>
  <c r="H47" i="1" s="1"/>
  <c r="X47" i="1"/>
  <c r="G47" i="1" s="1"/>
  <c r="Y46" i="1"/>
  <c r="X46" i="1"/>
  <c r="W61" i="1" l="1"/>
  <c r="X61" i="1" s="1"/>
  <c r="W29" i="1"/>
  <c r="X29" i="1" s="1"/>
  <c r="W27" i="1"/>
  <c r="W16" i="1"/>
  <c r="W15" i="1"/>
  <c r="Y15" i="1" s="1"/>
  <c r="W24" i="1"/>
  <c r="P61" i="1"/>
  <c r="U35" i="1"/>
  <c r="S35" i="1"/>
  <c r="T35" i="1" s="1"/>
  <c r="S16" i="1"/>
  <c r="P16" i="1"/>
  <c r="U13" i="1"/>
  <c r="P41" i="1"/>
  <c r="S39" i="1"/>
  <c r="S40" i="1"/>
  <c r="S15" i="1"/>
  <c r="P15" i="1"/>
  <c r="U34" i="1"/>
  <c r="U33" i="1"/>
  <c r="P40" i="1"/>
  <c r="P39" i="1"/>
  <c r="S36" i="1"/>
  <c r="T36" i="1" s="1"/>
  <c r="P48" i="1"/>
  <c r="S48" i="1"/>
  <c r="W48" i="1"/>
  <c r="V48" i="1" s="1"/>
  <c r="F48" i="1" s="1"/>
  <c r="S33" i="1"/>
  <c r="T33" i="1" s="1"/>
  <c r="S31" i="1"/>
  <c r="T31" i="1" s="1"/>
  <c r="S34" i="1"/>
  <c r="T34" i="1" s="1"/>
  <c r="S30" i="1"/>
  <c r="T30" i="1" s="1"/>
  <c r="S25" i="1"/>
  <c r="S26" i="1"/>
  <c r="S37" i="1"/>
  <c r="T37" i="1" s="1"/>
  <c r="U30" i="1"/>
  <c r="U31" i="1"/>
  <c r="U14" i="1"/>
  <c r="U27" i="1"/>
  <c r="U26" i="1"/>
  <c r="U25" i="1"/>
  <c r="S24" i="1"/>
  <c r="L24" i="1" s="1"/>
  <c r="U28" i="1"/>
  <c r="P53" i="1"/>
  <c r="S56" i="1"/>
  <c r="S58" i="1"/>
  <c r="S57" i="1"/>
  <c r="P58" i="1"/>
  <c r="W28" i="1"/>
  <c r="W45" i="1"/>
  <c r="X45" i="1" s="1"/>
  <c r="G45" i="1" s="1"/>
  <c r="H46" i="1"/>
  <c r="S62" i="1"/>
  <c r="S59" i="1"/>
  <c r="P13" i="1"/>
  <c r="P14" i="1"/>
  <c r="P24" i="1"/>
  <c r="P25" i="1"/>
  <c r="P26" i="1"/>
  <c r="U29" i="1"/>
  <c r="P27" i="1"/>
  <c r="S27" i="1"/>
  <c r="S28" i="1"/>
  <c r="S29" i="1"/>
  <c r="P28" i="1"/>
  <c r="P29" i="1"/>
  <c r="E30" i="1"/>
  <c r="P30" i="1"/>
  <c r="P31" i="1"/>
  <c r="P33" i="1"/>
  <c r="P34" i="1"/>
  <c r="P36" i="1"/>
  <c r="P37" i="1"/>
  <c r="P45" i="1"/>
  <c r="S45" i="1"/>
  <c r="P46" i="1"/>
  <c r="S46" i="1"/>
  <c r="P52" i="1"/>
  <c r="P62" i="1"/>
  <c r="P59" i="1"/>
  <c r="P54" i="1"/>
  <c r="P57" i="1"/>
  <c r="P56" i="1"/>
  <c r="C79" i="1"/>
  <c r="Q352" i="1"/>
  <c r="Q675" i="1"/>
  <c r="A4" i="2"/>
  <c r="B4" i="2"/>
  <c r="D4" i="2"/>
  <c r="E4" i="2"/>
  <c r="H4" i="2"/>
  <c r="I4" i="2"/>
  <c r="J4" i="2"/>
  <c r="K4" i="2"/>
  <c r="L4" i="2"/>
  <c r="M4" i="2"/>
  <c r="N4" i="2"/>
  <c r="Q4" i="2"/>
  <c r="V4" i="2"/>
  <c r="AE4" i="2"/>
  <c r="AF4" i="2"/>
  <c r="AG4" i="2"/>
  <c r="AH4" i="2"/>
  <c r="AI4" i="2"/>
  <c r="AK4" i="2"/>
  <c r="AL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C4" i="2"/>
  <c r="BD4" i="2"/>
  <c r="BE4" i="2"/>
  <c r="BF4" i="2"/>
  <c r="BG4" i="2"/>
  <c r="BH4" i="2"/>
  <c r="BI4" i="2"/>
  <c r="BJ4" i="2"/>
  <c r="BK4" i="2"/>
  <c r="BL4" i="2"/>
  <c r="BO4" i="2"/>
  <c r="BP4" i="2"/>
  <c r="BQ4" i="2"/>
  <c r="BR4" i="2"/>
  <c r="BS4" i="2"/>
  <c r="BT4" i="2"/>
  <c r="BB4" i="2"/>
  <c r="BA4" i="2"/>
  <c r="AM4" i="2"/>
  <c r="U4" i="2"/>
  <c r="G46" i="1"/>
  <c r="T4" i="2"/>
  <c r="F46" i="1"/>
  <c r="L30" i="1" l="1"/>
  <c r="W30" i="1"/>
  <c r="Y16" i="1"/>
  <c r="H16" i="1" s="1"/>
  <c r="X16" i="1"/>
  <c r="G16" i="1" s="1"/>
  <c r="X28" i="1"/>
  <c r="Y4" i="2" s="1"/>
  <c r="Y28" i="1"/>
  <c r="H28" i="1" s="1"/>
  <c r="X27" i="1"/>
  <c r="Y27" i="1"/>
  <c r="H27" i="1" s="1"/>
  <c r="L13" i="1"/>
  <c r="Y24" i="1"/>
  <c r="H24" i="1" s="1"/>
  <c r="X24" i="1"/>
  <c r="G24" i="1" s="1"/>
  <c r="V24" i="1"/>
  <c r="W32" i="1"/>
  <c r="V32" i="1" s="1"/>
  <c r="F32" i="1" s="1"/>
  <c r="G29" i="1"/>
  <c r="Y29" i="1"/>
  <c r="H29" i="1" s="1"/>
  <c r="V27" i="1"/>
  <c r="L55" i="1" s="1"/>
  <c r="X15" i="1"/>
  <c r="G4" i="2" s="1"/>
  <c r="L27" i="1"/>
  <c r="L25" i="1"/>
  <c r="T39" i="1"/>
  <c r="W39" i="1" s="1"/>
  <c r="T41" i="1"/>
  <c r="W41" i="1" s="1"/>
  <c r="T40" i="1"/>
  <c r="W40" i="1" s="1"/>
  <c r="L39" i="1"/>
  <c r="Y61" i="1"/>
  <c r="H61" i="1" s="1"/>
  <c r="V61" i="1"/>
  <c r="F61" i="1" s="1"/>
  <c r="W52" i="1"/>
  <c r="U62" i="1"/>
  <c r="W62" i="1" s="1"/>
  <c r="Y62" i="1" s="1"/>
  <c r="H62" i="1" s="1"/>
  <c r="U56" i="1"/>
  <c r="W56" i="1" s="1"/>
  <c r="X56" i="1" s="1"/>
  <c r="U57" i="1"/>
  <c r="W57" i="1" s="1"/>
  <c r="V57" i="1" s="1"/>
  <c r="F57" i="1" s="1"/>
  <c r="U59" i="1"/>
  <c r="W59" i="1" s="1"/>
  <c r="U58" i="1"/>
  <c r="W58" i="1" s="1"/>
  <c r="Y45" i="1"/>
  <c r="H45" i="1" s="1"/>
  <c r="Y48" i="1"/>
  <c r="H48" i="1" s="1"/>
  <c r="W53" i="1"/>
  <c r="W37" i="1"/>
  <c r="Y37" i="1" s="1"/>
  <c r="H37" i="1" s="1"/>
  <c r="V45" i="1"/>
  <c r="F45" i="1" s="1"/>
  <c r="X48" i="1"/>
  <c r="G48" i="1" s="1"/>
  <c r="V29" i="1"/>
  <c r="F29" i="1" s="1"/>
  <c r="W36" i="1"/>
  <c r="Y36" i="1" s="1"/>
  <c r="H36" i="1" s="1"/>
  <c r="W31" i="1"/>
  <c r="X31" i="1" s="1"/>
  <c r="W34" i="1"/>
  <c r="W33" i="1"/>
  <c r="W35" i="1"/>
  <c r="AA4" i="2"/>
  <c r="T29" i="1"/>
  <c r="V28" i="1"/>
  <c r="F28" i="1" s="1"/>
  <c r="W4" i="2"/>
  <c r="T28" i="1"/>
  <c r="T27" i="1"/>
  <c r="T26" i="1"/>
  <c r="V16" i="1"/>
  <c r="L58" i="1" s="1"/>
  <c r="T25" i="1"/>
  <c r="H15" i="1"/>
  <c r="T13" i="1"/>
  <c r="S13" i="1" s="1"/>
  <c r="V15" i="1"/>
  <c r="L62" i="1" s="1"/>
  <c r="F4" i="2"/>
  <c r="T14" i="1"/>
  <c r="S14" i="1" s="1"/>
  <c r="Z4" i="2" l="1"/>
  <c r="F24" i="1"/>
  <c r="X40" i="1"/>
  <c r="G40" i="1" s="1"/>
  <c r="Y40" i="1"/>
  <c r="H40" i="1" s="1"/>
  <c r="Y32" i="1"/>
  <c r="H32" i="1" s="1"/>
  <c r="X32" i="1"/>
  <c r="G32" i="1" s="1"/>
  <c r="X52" i="1"/>
  <c r="G52" i="1" s="1"/>
  <c r="Y52" i="1"/>
  <c r="H52" i="1" s="1"/>
  <c r="Y53" i="1"/>
  <c r="V53" i="1"/>
  <c r="X53" i="1"/>
  <c r="F54" i="1"/>
  <c r="V52" i="1"/>
  <c r="F52" i="1" s="1"/>
  <c r="G28" i="1"/>
  <c r="AB4" i="2"/>
  <c r="G15" i="1"/>
  <c r="F27" i="1"/>
  <c r="Y41" i="1"/>
  <c r="H41" i="1" s="1"/>
  <c r="X41" i="1"/>
  <c r="G41" i="1" s="1"/>
  <c r="V41" i="1"/>
  <c r="F41" i="1" s="1"/>
  <c r="V40" i="1"/>
  <c r="F40" i="1" s="1"/>
  <c r="V62" i="1"/>
  <c r="F62" i="1" s="1"/>
  <c r="X62" i="1"/>
  <c r="G62" i="1" s="1"/>
  <c r="L57" i="1"/>
  <c r="Y56" i="1"/>
  <c r="H56" i="1" s="1"/>
  <c r="V56" i="1"/>
  <c r="F56" i="1" s="1"/>
  <c r="L56" i="1"/>
  <c r="G56" i="1"/>
  <c r="BN4" i="2"/>
  <c r="G54" i="1"/>
  <c r="L59" i="1"/>
  <c r="Y57" i="1"/>
  <c r="H57" i="1" s="1"/>
  <c r="Y59" i="1"/>
  <c r="H59" i="1" s="1"/>
  <c r="X59" i="1"/>
  <c r="F16" i="1"/>
  <c r="V58" i="1"/>
  <c r="F58" i="1" s="1"/>
  <c r="X58" i="1"/>
  <c r="G58" i="1" s="1"/>
  <c r="V59" i="1"/>
  <c r="F59" i="1" s="1"/>
  <c r="X39" i="1"/>
  <c r="G39" i="1" s="1"/>
  <c r="X37" i="1"/>
  <c r="G37" i="1" s="1"/>
  <c r="V37" i="1"/>
  <c r="F37" i="1" s="1"/>
  <c r="V36" i="1"/>
  <c r="X36" i="1"/>
  <c r="G36" i="1" s="1"/>
  <c r="Y31" i="1"/>
  <c r="H31" i="1" s="1"/>
  <c r="G31" i="1"/>
  <c r="V31" i="1"/>
  <c r="F31" i="1" s="1"/>
  <c r="X33" i="1"/>
  <c r="G33" i="1" s="1"/>
  <c r="V33" i="1"/>
  <c r="F33" i="1" s="1"/>
  <c r="Y33" i="1"/>
  <c r="H33" i="1" s="1"/>
  <c r="V34" i="1"/>
  <c r="F34" i="1" s="1"/>
  <c r="Y34" i="1"/>
  <c r="H34" i="1" s="1"/>
  <c r="X34" i="1"/>
  <c r="G34" i="1" s="1"/>
  <c r="Y35" i="1"/>
  <c r="H35" i="1" s="1"/>
  <c r="X35" i="1"/>
  <c r="G35" i="1" s="1"/>
  <c r="V35" i="1"/>
  <c r="F35" i="1" s="1"/>
  <c r="X30" i="1"/>
  <c r="AD4" i="2" s="1"/>
  <c r="V30" i="1"/>
  <c r="F30" i="1" s="1"/>
  <c r="Y30" i="1"/>
  <c r="H30" i="1" s="1"/>
  <c r="AJ4" i="2"/>
  <c r="G27" i="1"/>
  <c r="X4" i="2"/>
  <c r="W26" i="1"/>
  <c r="W25" i="1"/>
  <c r="W13" i="1"/>
  <c r="Y13" i="1" s="1"/>
  <c r="F15" i="1"/>
  <c r="W14" i="1"/>
  <c r="F36" i="1" l="1"/>
  <c r="X26" i="1"/>
  <c r="R4" i="2" s="1"/>
  <c r="Y26" i="1"/>
  <c r="H26" i="1" s="1"/>
  <c r="Y25" i="1"/>
  <c r="H25" i="1" s="1"/>
  <c r="X25" i="1"/>
  <c r="P4" i="2" s="1"/>
  <c r="F53" i="1"/>
  <c r="H53" i="1"/>
  <c r="G53" i="1"/>
  <c r="X14" i="1"/>
  <c r="G14" i="1" s="1"/>
  <c r="Y14" i="1"/>
  <c r="H14" i="1" s="1"/>
  <c r="H13" i="1"/>
  <c r="X13" i="1"/>
  <c r="G13" i="1" s="1"/>
  <c r="BM4" i="2"/>
  <c r="V39" i="1"/>
  <c r="F39" i="1" s="1"/>
  <c r="Y39" i="1"/>
  <c r="H39" i="1" s="1"/>
  <c r="AC4" i="2"/>
  <c r="G30" i="1"/>
  <c r="V26" i="1"/>
  <c r="F26" i="1" s="1"/>
  <c r="V25" i="1"/>
  <c r="V13" i="1"/>
  <c r="V14" i="1"/>
  <c r="D68" i="1" l="1"/>
  <c r="E68" i="1" s="1"/>
  <c r="L60" i="1"/>
  <c r="F13" i="1"/>
  <c r="F25" i="1"/>
  <c r="L61" i="1"/>
  <c r="D72" i="1"/>
  <c r="E72" i="1" s="1"/>
  <c r="G26" i="1"/>
  <c r="S4" i="2"/>
  <c r="G25" i="1"/>
  <c r="O4" i="2"/>
  <c r="C4" i="2"/>
  <c r="BU4" i="2" s="1"/>
  <c r="F14" i="1"/>
  <c r="D74" i="1"/>
  <c r="BW4" i="2" s="1"/>
  <c r="D76" i="1"/>
  <c r="M7" i="1" l="1"/>
  <c r="N7" i="1" s="1"/>
  <c r="D70" i="1"/>
  <c r="BV4" i="2"/>
  <c r="M3" i="1"/>
  <c r="N3" i="1" s="1"/>
  <c r="E70" i="1" l="1"/>
  <c r="M5" i="1"/>
  <c r="N5" i="1" s="1"/>
</calcChain>
</file>

<file path=xl/sharedStrings.xml><?xml version="1.0" encoding="utf-8"?>
<sst xmlns="http://schemas.openxmlformats.org/spreadsheetml/2006/main" count="213" uniqueCount="168">
  <si>
    <t>Iš viso dalykų:</t>
  </si>
  <si>
    <t>Vardas</t>
  </si>
  <si>
    <t>Pavardė</t>
  </si>
  <si>
    <t>Pamokų skaičius III klasėje:</t>
  </si>
  <si>
    <t>Klasė</t>
  </si>
  <si>
    <t>Pamokų skaičius IV klasėje: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</si>
  <si>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.</t>
    </r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</si>
  <si>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</si>
  <si>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</si>
  <si>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</si>
  <si>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</si>
  <si>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</si>
  <si>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</si>
  <si>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</si>
  <si>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</si>
  <si>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</si>
  <si>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</si>
  <si>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</si>
  <si>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</si>
  <si>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</si>
  <si>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</si>
  <si>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</si>
  <si>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</si>
  <si>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Etika</t>
  </si>
  <si>
    <t>–</t>
  </si>
  <si>
    <t>Tikyba</t>
  </si>
  <si>
    <t>Gimtoji kalba</t>
  </si>
  <si>
    <t>Lietuvių kalba ir literatūra</t>
  </si>
  <si>
    <t>Užsienio kalba</t>
  </si>
  <si>
    <t>Socialinis ugdymas</t>
  </si>
  <si>
    <t>Istorija</t>
  </si>
  <si>
    <t>Geografija</t>
  </si>
  <si>
    <t>Matematika</t>
  </si>
  <si>
    <t>Informacinės technologijos</t>
  </si>
  <si>
    <t>Elektroninė leidyba</t>
  </si>
  <si>
    <t>Programavimas</t>
  </si>
  <si>
    <t>Gamtamokslinis ugdymas</t>
  </si>
  <si>
    <t>Biologija</t>
  </si>
  <si>
    <t>Chemija</t>
  </si>
  <si>
    <t>Fizika</t>
  </si>
  <si>
    <t>Dailė</t>
  </si>
  <si>
    <t>Grafinis dizainas</t>
  </si>
  <si>
    <t>Muzika</t>
  </si>
  <si>
    <t>Teatras</t>
  </si>
  <si>
    <t>Kūno kultūra</t>
  </si>
  <si>
    <r>
      <t>PASIRENKAMIEJI DALYKAI</t>
    </r>
    <r>
      <rPr>
        <sz val="11"/>
        <rFont val="Times New Roman"/>
        <family val="1"/>
        <charset val="186"/>
      </rPr>
      <t>, įskaičiuojami į dalykų ir pamokų skaičių</t>
    </r>
  </si>
  <si>
    <t>Braižyba</t>
  </si>
  <si>
    <t>Ekonomika ir verslumas</t>
  </si>
  <si>
    <t>Prancūzų kalba pradedantiesiems</t>
  </si>
  <si>
    <t>Psichologija</t>
  </si>
  <si>
    <r>
      <t>MODULIAI</t>
    </r>
    <r>
      <rPr>
        <sz val="11"/>
        <rFont val="Times New Roman"/>
        <family val="1"/>
        <charset val="186"/>
      </rPr>
      <t>, įskaičiuojami į pamokų skaičių, bet neįskaičiuojami į dalykų skaičių</t>
    </r>
  </si>
  <si>
    <t>Anglų kalba</t>
  </si>
  <si>
    <t>Lietuvių kalba</t>
  </si>
  <si>
    <t>Pamokų skaičius 
III klasėje:</t>
  </si>
  <si>
    <t>Pamokų skaičius 
IV klasėje:</t>
  </si>
  <si>
    <t>A kursu (išplėstiniu):</t>
  </si>
  <si>
    <t>B kursu (bendruoju):</t>
  </si>
  <si>
    <t>Data</t>
  </si>
  <si>
    <t>Mokinio parašas</t>
  </si>
  <si>
    <t>Tėvų parašas</t>
  </si>
  <si>
    <t>Pavardė, vardas</t>
  </si>
  <si>
    <t>Branduolio dalykai</t>
  </si>
  <si>
    <t>Iš viso val.</t>
  </si>
  <si>
    <t>Dalykų skaičius</t>
  </si>
  <si>
    <t>A kursu</t>
  </si>
  <si>
    <t>Lietuvių kalba B</t>
  </si>
  <si>
    <t>Lietuvių A 5 val.</t>
  </si>
  <si>
    <t>Lietuvių A 6 val.</t>
  </si>
  <si>
    <t>I užsienio kalba</t>
  </si>
  <si>
    <t>Matematika B</t>
  </si>
  <si>
    <t>Matematika A 5 val.</t>
  </si>
  <si>
    <t>Matematika A 6 val.</t>
  </si>
  <si>
    <t>Menai</t>
  </si>
  <si>
    <t>Technologijos</t>
  </si>
  <si>
    <t>II užsienio kalba</t>
  </si>
  <si>
    <t>Informacinės technologijos B</t>
  </si>
  <si>
    <r>
      <t>Informacinės technologijos A</t>
    </r>
    <r>
      <rPr>
        <sz val="8"/>
        <rFont val="Arial"/>
        <family val="2"/>
        <charset val="186"/>
      </rPr>
      <t xml:space="preserve"> (programavimas)</t>
    </r>
  </si>
  <si>
    <r>
      <t>Informacinės technologijos A</t>
    </r>
    <r>
      <rPr>
        <sz val="8"/>
        <rFont val="Arial"/>
        <family val="2"/>
        <charset val="186"/>
      </rPr>
      <t xml:space="preserve"> (elektroninė leidyba)</t>
    </r>
  </si>
  <si>
    <r>
      <t>Informacinės technologijos A</t>
    </r>
    <r>
      <rPr>
        <sz val="8"/>
        <rFont val="Arial"/>
        <family val="2"/>
        <charset val="186"/>
      </rPr>
      <t xml:space="preserve">  (duomenų bazių kūrimas ir valdymas)</t>
    </r>
  </si>
  <si>
    <t>Ispanų kalba pradedantiesiem</t>
  </si>
  <si>
    <t>Ekonomikos teorijos pagrindai</t>
  </si>
  <si>
    <t>Vadybos pagrindai</t>
  </si>
  <si>
    <t>Teisės pagrindai</t>
  </si>
  <si>
    <t>Anglų k.</t>
  </si>
  <si>
    <t>IT</t>
  </si>
  <si>
    <t>Viešo kalbėjimo modulis</t>
  </si>
  <si>
    <t>Ekonomika anglų kalba</t>
  </si>
  <si>
    <t>Etika B</t>
  </si>
  <si>
    <t>Tikyba šv r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</si>
  <si>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</si>
  <si>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</si>
  <si>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</si>
  <si>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</si>
  <si>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</si>
  <si>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</si>
  <si>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Istorija B</t>
  </si>
  <si>
    <t>Istorija A 3 val.</t>
  </si>
  <si>
    <t>Istorija A 4 val.</t>
  </si>
  <si>
    <t>Gegorafija B</t>
  </si>
  <si>
    <t>Gegografija A</t>
  </si>
  <si>
    <t>Biologija B</t>
  </si>
  <si>
    <t>Bilogija A</t>
  </si>
  <si>
    <t>Chemija B</t>
  </si>
  <si>
    <t>Chemija A</t>
  </si>
  <si>
    <t>Fizika B</t>
  </si>
  <si>
    <t>Fizika A</t>
  </si>
  <si>
    <t>Dailė B</t>
  </si>
  <si>
    <t>Dailė A</t>
  </si>
  <si>
    <t>Grafinis dizaimas</t>
  </si>
  <si>
    <t>Muzika B</t>
  </si>
  <si>
    <t>Muzika A</t>
  </si>
  <si>
    <t>Teatras B</t>
  </si>
  <si>
    <t>Teatras A</t>
  </si>
  <si>
    <t>Šokis B</t>
  </si>
  <si>
    <t>Turizmas ir mityba B</t>
  </si>
  <si>
    <t>Taikomojo meno, amatų ir dizaino technologijos B</t>
  </si>
  <si>
    <t>Tekstilės ir aprangos technologijos B</t>
  </si>
  <si>
    <t>Verslas ir vadyba, mažmeninė prekyba</t>
  </si>
  <si>
    <t>Statyba ir medžio apdirbimas B</t>
  </si>
  <si>
    <t>Bendroji kūno kultūra B</t>
  </si>
  <si>
    <t>Aerobika B</t>
  </si>
  <si>
    <t>Rusų kalba</t>
  </si>
  <si>
    <t>Vokiečių kalba</t>
  </si>
  <si>
    <t>Prancūzų kalba</t>
  </si>
  <si>
    <t>Lotynų kalba</t>
  </si>
  <si>
    <t>Kaligrafijos pagrindai</t>
  </si>
  <si>
    <t>Pasiruošimas IELTS egzaminui</t>
  </si>
  <si>
    <t>Kalbinių kompetencijų ugdymas</t>
  </si>
  <si>
    <t>Matematikos olimpiadinių uždavinių sprendimas, A kursui</t>
  </si>
  <si>
    <t>Eksperimentas biologijoje, A kursui</t>
  </si>
  <si>
    <t>Chemijos eksperimentų, uždavinių ir tekstinių užduočių sprendimas, A kusui</t>
  </si>
  <si>
    <t>Medžiagos ir jų kitimai</t>
  </si>
  <si>
    <t>Fizikos  uždavinių sprendimo būdai ir metodai, A kursui</t>
  </si>
  <si>
    <t>Programavimo pagrindai</t>
  </si>
  <si>
    <t>Programavimo praktikumas</t>
  </si>
  <si>
    <t xml:space="preserve"> –</t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</si>
  <si>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</si>
  <si>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r>
      <t>Išplėstinis kursas</t>
    </r>
    <r>
      <rPr>
        <b/>
        <sz val="10"/>
        <rFont val="Times New Roman"/>
        <family val="1"/>
        <charset val="186"/>
      </rPr>
      <t xml:space="preserve"> (A)</t>
    </r>
  </si>
  <si>
    <t>Tekstilė ir dizainas</t>
  </si>
  <si>
    <t>Menai ir technologijos</t>
  </si>
  <si>
    <t>Kauno Jono Jablonskio gimnazija</t>
  </si>
  <si>
    <t>Užsienio kalba (anglų) (B2)</t>
  </si>
  <si>
    <t>Technologijos (mechaninis remontas)</t>
  </si>
  <si>
    <t>Technologijos (turizmas ir mityba)</t>
  </si>
  <si>
    <t>Filosofija</t>
  </si>
  <si>
    <t>Integruotų kompleksinių užduočių sprendimas ir analizė</t>
  </si>
  <si>
    <t>Kultūrinis (literatūrinis) raštingumas</t>
  </si>
  <si>
    <t>Uždavinių sprendimo metodika</t>
  </si>
  <si>
    <t>Lietuvos ir Europos visuomenės raida (XIV–XX a.) (IV kl)</t>
  </si>
  <si>
    <t>LDK ir Europos visuomenės raida(XVI-XVIII a.) (III kl)</t>
  </si>
  <si>
    <t>Organizmų įvairovė ir evoliucija. Genetikos pagrindai (IV kl)</t>
  </si>
  <si>
    <t>Ląstelės ir organizmų funkcionavimo valdymas (III kl)</t>
  </si>
  <si>
    <t>Praktinio turinio uždavinių sprendimo būdai (III kl)</t>
  </si>
  <si>
    <t>Praktinio turinio ir  sudėtingesnių uždavinių sprendimo būdai (IV kl)</t>
  </si>
  <si>
    <t>Užpildytą anketą atneškite į klasės vadovui</t>
  </si>
  <si>
    <t>Šokis</t>
  </si>
  <si>
    <t>Fizinis ugdymas</t>
  </si>
  <si>
    <t>2021-2023 m. m. individualus ugdymo planas (III–IV kl.)</t>
  </si>
  <si>
    <t>Žydų kultūros, istorijos, religijos ir literatūros pasaulyje</t>
  </si>
  <si>
    <t>Fotografija</t>
  </si>
  <si>
    <t>Užsienio kalba (vokiečių) (B1)</t>
  </si>
  <si>
    <t>Užsienio kalba (vokiečių) (A1)</t>
  </si>
  <si>
    <t>Užsienio kalba (Rusų) (B1)</t>
  </si>
  <si>
    <t>Užsienio kalba (rusų) (A1)</t>
  </si>
  <si>
    <t>"Vokiečių kalba komunikacijai" tik vokiečių kalbą pasirinkusiems</t>
  </si>
  <si>
    <t>Užsienio kalba (Italų) (A1)</t>
  </si>
  <si>
    <t>Užsienio kalba (prancūzų) (A1)</t>
  </si>
  <si>
    <t>Užsienio kalba (prancūzų) (B1)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</si>
</sst>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TRUE&quot;;&quot;TRUE&quot;;&quot;FALSE&quot;"/>
    <numFmt numFmtId="165" formatCode="yyyy\-mm\-dd;@"/>
  </numFmts>
  <fonts count="39" x14ac:knownFonts="1"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Wingdings 2"/>
      <family val="1"/>
      <charset val="2"/>
    </font>
    <font>
      <b/>
      <sz val="9"/>
      <name val="Times New Roman"/>
      <family val="1"/>
      <charset val="186"/>
    </font>
    <font>
      <b/>
      <sz val="9"/>
      <color indexed="10"/>
      <name val="Arial"/>
      <family val="2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8"/>
      <name val="Times New Roman"/>
      <family val="1"/>
      <charset val="204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rgb="FF7030A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hair">
        <color indexed="59"/>
      </top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double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medium">
        <color indexed="64"/>
      </top>
      <bottom style="medium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medium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</cellStyleXfs>
  <cellXfs count="430">
    <xf numFmtId="0" fontId="0" fillId="0" borderId="0" xfId="0"/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6" borderId="15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33" fillId="0" borderId="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3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textRotation="90" wrapText="1"/>
    </xf>
    <xf numFmtId="0" fontId="36" fillId="0" borderId="30" xfId="0" applyFont="1" applyFill="1" applyBorder="1" applyAlignment="1">
      <alignment horizontal="center" textRotation="90" wrapText="1"/>
    </xf>
    <xf numFmtId="0" fontId="36" fillId="0" borderId="31" xfId="0" applyFont="1" applyFill="1" applyBorder="1" applyAlignment="1">
      <alignment horizontal="center" textRotation="90" wrapText="1"/>
    </xf>
    <xf numFmtId="0" fontId="35" fillId="0" borderId="31" xfId="0" applyFont="1" applyFill="1" applyBorder="1" applyAlignment="1">
      <alignment vertical="center" textRotation="90" wrapText="1"/>
    </xf>
    <xf numFmtId="0" fontId="35" fillId="0" borderId="30" xfId="0" applyFont="1" applyFill="1" applyBorder="1" applyAlignment="1">
      <alignment horizontal="center" vertical="center" textRotation="90" wrapText="1"/>
    </xf>
    <xf numFmtId="0" fontId="36" fillId="0" borderId="30" xfId="0" applyFont="1" applyFill="1" applyBorder="1" applyAlignment="1">
      <alignment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6" fillId="0" borderId="32" xfId="0" applyFont="1" applyFill="1" applyBorder="1" applyAlignment="1">
      <alignment textRotation="90" wrapText="1"/>
    </xf>
    <xf numFmtId="0" fontId="0" fillId="0" borderId="3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/>
    </xf>
    <xf numFmtId="0" fontId="10" fillId="0" borderId="37" xfId="0" applyNumberFormat="1" applyFont="1" applyFill="1" applyBorder="1" applyAlignment="1">
      <alignment vertical="center"/>
    </xf>
    <xf numFmtId="0" fontId="10" fillId="0" borderId="38" xfId="0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0" borderId="38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0" fillId="0" borderId="41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vertical="center"/>
    </xf>
    <xf numFmtId="0" fontId="29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164" fontId="10" fillId="0" borderId="41" xfId="0" applyNumberFormat="1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6" borderId="43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164" fontId="10" fillId="0" borderId="39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left" vertical="top" wrapText="1"/>
    </xf>
    <xf numFmtId="0" fontId="10" fillId="0" borderId="5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0" fillId="7" borderId="43" xfId="0" applyFont="1" applyFill="1" applyBorder="1" applyAlignment="1" applyProtection="1">
      <alignment horizontal="center" vertical="center" wrapText="1"/>
      <protection hidden="1"/>
    </xf>
    <xf numFmtId="0" fontId="20" fillId="8" borderId="43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left" vertical="center" wrapText="1"/>
    </xf>
    <xf numFmtId="0" fontId="10" fillId="0" borderId="51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164" fontId="10" fillId="0" borderId="68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5" fillId="0" borderId="39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60" xfId="0" applyFont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87" xfId="0" applyFont="1" applyFill="1" applyBorder="1" applyAlignment="1">
      <alignment vertical="center" wrapText="1"/>
    </xf>
    <xf numFmtId="0" fontId="10" fillId="0" borderId="8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10" fillId="0" borderId="81" xfId="0" applyFont="1" applyFill="1" applyBorder="1" applyAlignment="1">
      <alignment vertical="center" wrapText="1"/>
    </xf>
    <xf numFmtId="0" fontId="10" fillId="0" borderId="8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8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8" borderId="5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0" fillId="6" borderId="98" xfId="0" applyFont="1" applyFill="1" applyBorder="1" applyAlignment="1">
      <alignment horizontal="center" vertical="center" wrapText="1"/>
    </xf>
    <xf numFmtId="0" fontId="10" fillId="0" borderId="102" xfId="0" applyNumberFormat="1" applyFont="1" applyBorder="1" applyAlignment="1">
      <alignment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NumberFormat="1" applyFont="1" applyBorder="1" applyAlignment="1">
      <alignment vertical="center"/>
    </xf>
    <xf numFmtId="0" fontId="10" fillId="0" borderId="10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10" borderId="102" xfId="0" applyFont="1" applyFill="1" applyBorder="1" applyAlignment="1">
      <alignment horizontal="center" vertical="center"/>
    </xf>
    <xf numFmtId="0" fontId="38" fillId="9" borderId="95" xfId="0" applyFont="1" applyFill="1" applyBorder="1" applyAlignment="1">
      <alignment horizontal="left" vertical="center" wrapText="1"/>
    </xf>
    <xf numFmtId="0" fontId="38" fillId="9" borderId="99" xfId="0" applyFont="1" applyFill="1" applyBorder="1" applyAlignment="1">
      <alignment horizontal="left" vertical="center" wrapText="1"/>
    </xf>
    <xf numFmtId="0" fontId="38" fillId="9" borderId="74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78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left" vertical="center" wrapText="1"/>
    </xf>
    <xf numFmtId="0" fontId="28" fillId="0" borderId="62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38" fillId="9" borderId="95" xfId="0" applyFont="1" applyFill="1" applyBorder="1" applyAlignment="1">
      <alignment horizontal="center" vertical="center"/>
    </xf>
    <xf numFmtId="0" fontId="38" fillId="9" borderId="99" xfId="0" applyFont="1" applyFill="1" applyBorder="1" applyAlignment="1">
      <alignment horizontal="center" vertical="center"/>
    </xf>
    <xf numFmtId="0" fontId="38" fillId="9" borderId="74" xfId="0" applyFont="1" applyFill="1" applyBorder="1" applyAlignment="1">
      <alignment horizontal="center" vertical="center"/>
    </xf>
    <xf numFmtId="0" fontId="38" fillId="9" borderId="82" xfId="0" applyFont="1" applyFill="1" applyBorder="1" applyAlignment="1">
      <alignment horizontal="center" vertical="center" wrapText="1"/>
    </xf>
    <xf numFmtId="0" fontId="38" fillId="9" borderId="50" xfId="0" applyFont="1" applyFill="1" applyBorder="1" applyAlignment="1">
      <alignment horizontal="center" vertical="center" wrapText="1"/>
    </xf>
    <xf numFmtId="0" fontId="38" fillId="9" borderId="100" xfId="0" applyFont="1" applyFill="1" applyBorder="1" applyAlignment="1">
      <alignment horizontal="center" vertical="center" wrapText="1"/>
    </xf>
    <xf numFmtId="0" fontId="38" fillId="9" borderId="54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38" fillId="9" borderId="51" xfId="0" applyFont="1" applyFill="1" applyBorder="1" applyAlignment="1">
      <alignment horizontal="center" vertical="center" wrapText="1"/>
    </xf>
    <xf numFmtId="0" fontId="38" fillId="9" borderId="72" xfId="0" applyFont="1" applyFill="1" applyBorder="1" applyAlignment="1">
      <alignment horizontal="center" vertical="center" wrapText="1"/>
    </xf>
    <xf numFmtId="0" fontId="38" fillId="9" borderId="81" xfId="0" applyFont="1" applyFill="1" applyBorder="1" applyAlignment="1">
      <alignment horizontal="center" vertical="center" wrapText="1"/>
    </xf>
    <xf numFmtId="0" fontId="38" fillId="9" borderId="73" xfId="0" applyFont="1" applyFill="1" applyBorder="1" applyAlignment="1">
      <alignment horizontal="center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10" fillId="0" borderId="70" xfId="0" applyFont="1" applyBorder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0" fontId="20" fillId="10" borderId="1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38" fillId="9" borderId="39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textRotation="90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25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0" fillId="0" borderId="86" xfId="0" applyFont="1" applyBorder="1" applyAlignment="1">
      <alignment horizontal="center" vertical="center" wrapText="1"/>
    </xf>
    <xf numFmtId="0" fontId="38" fillId="9" borderId="39" xfId="0" applyFont="1" applyFill="1" applyBorder="1" applyAlignment="1">
      <alignment horizontal="left" vertical="center"/>
    </xf>
    <xf numFmtId="0" fontId="28" fillId="0" borderId="75" xfId="0" applyFont="1" applyBorder="1" applyAlignment="1">
      <alignment horizontal="left" vertical="center" wrapText="1"/>
    </xf>
    <xf numFmtId="0" fontId="28" fillId="0" borderId="76" xfId="0" applyFont="1" applyBorder="1" applyAlignment="1">
      <alignment horizontal="left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textRotation="90" wrapText="1"/>
    </xf>
    <xf numFmtId="0" fontId="36" fillId="3" borderId="30" xfId="0" applyFont="1" applyFill="1" applyBorder="1" applyAlignment="1">
      <alignment horizontal="center" textRotation="90" wrapText="1"/>
    </xf>
    <xf numFmtId="0" fontId="35" fillId="0" borderId="30" xfId="0" applyFont="1" applyFill="1" applyBorder="1" applyAlignment="1">
      <alignment horizontal="center" textRotation="90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textRotation="90" wrapText="1"/>
    </xf>
    <xf numFmtId="0" fontId="35" fillId="0" borderId="30" xfId="0" applyFont="1" applyFill="1" applyBorder="1" applyAlignment="1">
      <alignment horizontal="center" vertical="center" textRotation="90" wrapText="1"/>
    </xf>
    <xf numFmtId="0" fontId="37" fillId="0" borderId="3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textRotation="90" wrapText="1"/>
    </xf>
  </cellXfs>
  <cellStyles count="11">
    <cellStyle name="1 antraštė" xfId="1" xr:uid="{00000000-0005-0000-0000-000000000000}"/>
    <cellStyle name="2 antraštė" xfId="2" xr:uid="{00000000-0005-0000-0000-000001000000}"/>
    <cellStyle name="3 antraštė" xfId="3" xr:uid="{00000000-0005-0000-0000-000002000000}"/>
    <cellStyle name="4 antraštė" xfId="4" xr:uid="{00000000-0005-0000-0000-000003000000}"/>
    <cellStyle name="Aiškinamasis tekstas" xfId="5" xr:uid="{00000000-0005-0000-0000-000004000000}"/>
    <cellStyle name="Geras" xfId="6" xr:uid="{00000000-0005-0000-0000-000005000000}"/>
    <cellStyle name="Įspėjimo tekstas" xfId="7" xr:uid="{00000000-0005-0000-0000-000007000000}"/>
    <cellStyle name="Išvestis" xfId="8" xr:uid="{00000000-0005-0000-0000-000008000000}"/>
    <cellStyle name="Normal" xfId="0" builtinId="0"/>
    <cellStyle name="Pavadinimas" xfId="9" xr:uid="{00000000-0005-0000-0000-000009000000}"/>
    <cellStyle name="Suma" xfId="10" xr:uid="{00000000-0005-0000-0000-00000A000000}"/>
  </cellStyles>
  <dxfs count="7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ill>
        <patternFill patternType="solid">
          <fgColor indexed="26"/>
          <bgColor rgb="FF92D050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ill>
        <patternFill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name val="Calibri Light"/>
        <scheme val="none"/>
      </font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7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FFFF99"/>
      <color rgb="FF0A71C6"/>
      <color rgb="FFF2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45" noThreeD="1"/>
</file>

<file path=xl/ctrlProps/ctrlProp10.xml><?xml version="1.0" encoding="utf-8"?>
<formControlPr xmlns="http://schemas.microsoft.com/office/spreadsheetml/2009/9/main" objectType="CheckBox" fmlaLink="$Q$62" noThreeD="1"/>
</file>

<file path=xl/ctrlProps/ctrlProp11.xml><?xml version="1.0" encoding="utf-8"?>
<formControlPr xmlns="http://schemas.microsoft.com/office/spreadsheetml/2009/9/main" objectType="CheckBox" fmlaLink="$Q$53" noThreeD="1"/>
</file>

<file path=xl/ctrlProps/ctrlProp12.xml><?xml version="1.0" encoding="utf-8"?>
<formControlPr xmlns="http://schemas.microsoft.com/office/spreadsheetml/2009/9/main" objectType="CheckBox" fmlaLink="$R$39" noThreeD="1"/>
</file>

<file path=xl/ctrlProps/ctrlProp13.xml><?xml version="1.0" encoding="utf-8"?>
<formControlPr xmlns="http://schemas.microsoft.com/office/spreadsheetml/2009/9/main" objectType="CheckBox" fmlaLink="$R$40" noThreeD="1"/>
</file>

<file path=xl/ctrlProps/ctrlProp14.xml><?xml version="1.0" encoding="utf-8"?>
<formControlPr xmlns="http://schemas.microsoft.com/office/spreadsheetml/2009/9/main" objectType="CheckBox" fmlaLink="$Q$41" lockText="1" noThreeD="1"/>
</file>

<file path=xl/ctrlProps/ctrlProp15.xml><?xml version="1.0" encoding="utf-8"?>
<formControlPr xmlns="http://schemas.microsoft.com/office/spreadsheetml/2009/9/main" objectType="CheckBox" fmlaLink="$Q$61" noThreeD="1"/>
</file>

<file path=xl/ctrlProps/ctrlProp16.xml><?xml version="1.0" encoding="utf-8"?>
<formControlPr xmlns="http://schemas.microsoft.com/office/spreadsheetml/2009/9/main" objectType="CheckBox" fmlaLink="$Q$47" lockText="1" noThreeD="1"/>
</file>

<file path=xl/ctrlProps/ctrlProp17.xml><?xml version="1.0" encoding="utf-8"?>
<formControlPr xmlns="http://schemas.microsoft.com/office/spreadsheetml/2009/9/main" objectType="CheckBox" fmlaLink="$Q$55" noThreeD="1"/>
</file>

<file path=xl/ctrlProps/ctrlProp18.xml><?xml version="1.0" encoding="utf-8"?>
<formControlPr xmlns="http://schemas.microsoft.com/office/spreadsheetml/2009/9/main" objectType="CheckBox" fmlaLink="$Q$60" noThreeD="1"/>
</file>

<file path=xl/ctrlProps/ctrlProp19.xml><?xml version="1.0" encoding="utf-8"?>
<formControlPr xmlns="http://schemas.microsoft.com/office/spreadsheetml/2009/9/main" objectType="CheckBox" fmlaLink="$Q$13" noThreeD="1"/>
</file>

<file path=xl/ctrlProps/ctrlProp2.xml><?xml version="1.0" encoding="utf-8"?>
<formControlPr xmlns="http://schemas.microsoft.com/office/spreadsheetml/2009/9/main" objectType="CheckBox" fmlaLink="$Q$46" noThreeD="1"/>
</file>

<file path=xl/ctrlProps/ctrlProp20.xml><?xml version="1.0" encoding="utf-8"?>
<formControlPr xmlns="http://schemas.microsoft.com/office/spreadsheetml/2009/9/main" objectType="CheckBox" fmlaLink="$Q$30" noThreeD="1"/>
</file>

<file path=xl/ctrlProps/ctrlProp21.xml><?xml version="1.0" encoding="utf-8"?>
<formControlPr xmlns="http://schemas.microsoft.com/office/spreadsheetml/2009/9/main" objectType="CheckBox" fmlaLink="$R$15" noThreeD="1"/>
</file>

<file path=xl/ctrlProps/ctrlProp22.xml><?xml version="1.0" encoding="utf-8"?>
<formControlPr xmlns="http://schemas.microsoft.com/office/spreadsheetml/2009/9/main" objectType="CheckBox" fmlaLink="$Q$25" noThreeD="1"/>
</file>

<file path=xl/ctrlProps/ctrlProp23.xml><?xml version="1.0" encoding="utf-8"?>
<formControlPr xmlns="http://schemas.microsoft.com/office/spreadsheetml/2009/9/main" objectType="CheckBox" fmlaLink="$Q$26" noThreeD="1"/>
</file>

<file path=xl/ctrlProps/ctrlProp24.xml><?xml version="1.0" encoding="utf-8"?>
<formControlPr xmlns="http://schemas.microsoft.com/office/spreadsheetml/2009/9/main" objectType="CheckBox" fmlaLink="$R$26" noThreeD="1"/>
</file>

<file path=xl/ctrlProps/ctrlProp25.xml><?xml version="1.0" encoding="utf-8"?>
<formControlPr xmlns="http://schemas.microsoft.com/office/spreadsheetml/2009/9/main" objectType="CheckBox" fmlaLink="$R$25" noThreeD="1"/>
</file>

<file path=xl/ctrlProps/ctrlProp26.xml><?xml version="1.0" encoding="utf-8"?>
<formControlPr xmlns="http://schemas.microsoft.com/office/spreadsheetml/2009/9/main" objectType="CheckBox" fmlaLink="$Q$27" noThreeD="1"/>
</file>

<file path=xl/ctrlProps/ctrlProp27.xml><?xml version="1.0" encoding="utf-8"?>
<formControlPr xmlns="http://schemas.microsoft.com/office/spreadsheetml/2009/9/main" objectType="CheckBox" fmlaLink="$Q$28" noThreeD="1"/>
</file>

<file path=xl/ctrlProps/ctrlProp28.xml><?xml version="1.0" encoding="utf-8"?>
<formControlPr xmlns="http://schemas.microsoft.com/office/spreadsheetml/2009/9/main" objectType="CheckBox" fmlaLink="$Q$29" noThreeD="1"/>
</file>

<file path=xl/ctrlProps/ctrlProp29.xml><?xml version="1.0" encoding="utf-8"?>
<formControlPr xmlns="http://schemas.microsoft.com/office/spreadsheetml/2009/9/main" objectType="CheckBox" fmlaLink="$R$29" noThreeD="1"/>
</file>

<file path=xl/ctrlProps/ctrlProp3.xml><?xml version="1.0" encoding="utf-8"?>
<formControlPr xmlns="http://schemas.microsoft.com/office/spreadsheetml/2009/9/main" objectType="CheckBox" fmlaLink="$Q$48" noThreeD="1"/>
</file>

<file path=xl/ctrlProps/ctrlProp30.xml><?xml version="1.0" encoding="utf-8"?>
<formControlPr xmlns="http://schemas.microsoft.com/office/spreadsheetml/2009/9/main" objectType="CheckBox" fmlaLink="$R$28" noThreeD="1"/>
</file>

<file path=xl/ctrlProps/ctrlProp31.xml><?xml version="1.0" encoding="utf-8"?>
<formControlPr xmlns="http://schemas.microsoft.com/office/spreadsheetml/2009/9/main" objectType="CheckBox" fmlaLink="$R$27" noThreeD="1"/>
</file>

<file path=xl/ctrlProps/ctrlProp32.xml><?xml version="1.0" encoding="utf-8"?>
<formControlPr xmlns="http://schemas.microsoft.com/office/spreadsheetml/2009/9/main" objectType="CheckBox" fmlaLink="$R$30" noThreeD="1"/>
</file>

<file path=xl/ctrlProps/ctrlProp33.xml><?xml version="1.0" encoding="utf-8"?>
<formControlPr xmlns="http://schemas.microsoft.com/office/spreadsheetml/2009/9/main" objectType="CheckBox" fmlaLink="$Q$34" noThreeD="1"/>
</file>

<file path=xl/ctrlProps/ctrlProp34.xml><?xml version="1.0" encoding="utf-8"?>
<formControlPr xmlns="http://schemas.microsoft.com/office/spreadsheetml/2009/9/main" objectType="CheckBox" fmlaLink="$Q$37" noThreeD="1"/>
</file>

<file path=xl/ctrlProps/ctrlProp35.xml><?xml version="1.0" encoding="utf-8"?>
<formControlPr xmlns="http://schemas.microsoft.com/office/spreadsheetml/2009/9/main" objectType="CheckBox" fmlaLink="$Q$14" noThreeD="1"/>
</file>

<file path=xl/ctrlProps/ctrlProp36.xml><?xml version="1.0" encoding="utf-8"?>
<formControlPr xmlns="http://schemas.microsoft.com/office/spreadsheetml/2009/9/main" objectType="CheckBox" fmlaLink="$Q$36" noThreeD="1"/>
</file>

<file path=xl/ctrlProps/ctrlProp37.xml><?xml version="1.0" encoding="utf-8"?>
<formControlPr xmlns="http://schemas.microsoft.com/office/spreadsheetml/2009/9/main" objectType="CheckBox" fmlaLink="$Q$31" noThreeD="1"/>
</file>

<file path=xl/ctrlProps/ctrlProp38.xml><?xml version="1.0" encoding="utf-8"?>
<formControlPr xmlns="http://schemas.microsoft.com/office/spreadsheetml/2009/9/main" objectType="CheckBox" fmlaLink="$Q$33" noThreeD="1"/>
</file>

<file path=xl/ctrlProps/ctrlProp39.xml><?xml version="1.0" encoding="utf-8"?>
<formControlPr xmlns="http://schemas.microsoft.com/office/spreadsheetml/2009/9/main" objectType="CheckBox" fmlaLink="$Q$24" noThreeD="1"/>
</file>

<file path=xl/ctrlProps/ctrlProp4.xml><?xml version="1.0" encoding="utf-8"?>
<formControlPr xmlns="http://schemas.microsoft.com/office/spreadsheetml/2009/9/main" objectType="CheckBox" fmlaLink="$Q$54" noThreeD="1"/>
</file>

<file path=xl/ctrlProps/ctrlProp40.xml><?xml version="1.0" encoding="utf-8"?>
<formControlPr xmlns="http://schemas.microsoft.com/office/spreadsheetml/2009/9/main" objectType="CheckBox" fmlaLink="$Q$16" lockText="1" noThreeD="1"/>
</file>

<file path=xl/ctrlProps/ctrlProp41.xml><?xml version="1.0" encoding="utf-8"?>
<formControlPr xmlns="http://schemas.microsoft.com/office/spreadsheetml/2009/9/main" objectType="CheckBox" fmlaLink="$R$16" lockText="1" noThreeD="1"/>
</file>

<file path=xl/ctrlProps/ctrlProp42.xml><?xml version="1.0" encoding="utf-8"?>
<formControlPr xmlns="http://schemas.microsoft.com/office/spreadsheetml/2009/9/main" objectType="CheckBox" fmlaLink="$Q$35" lockText="1" noThreeD="1"/>
</file>

<file path=xl/ctrlProps/ctrlProp43.xml><?xml version="1.0" encoding="utf-8"?>
<formControlPr xmlns="http://schemas.microsoft.com/office/spreadsheetml/2009/9/main" objectType="CheckBox" fmlaLink="#REF!" noThreeD="1"/>
</file>

<file path=xl/ctrlProps/ctrlProp44.xml><?xml version="1.0" encoding="utf-8"?>
<formControlPr xmlns="http://schemas.microsoft.com/office/spreadsheetml/2009/9/main" objectType="CheckBox" fmlaLink="$Q$49" noThreeD="1"/>
</file>

<file path=xl/ctrlProps/ctrlProp45.xml><?xml version="1.0" encoding="utf-8"?>
<formControlPr xmlns="http://schemas.microsoft.com/office/spreadsheetml/2009/9/main" objectType="CheckBox" fmlaLink="$Q$32" noThreeD="1"/>
</file>

<file path=xl/ctrlProps/ctrlProp46.xml><?xml version="1.0" encoding="utf-8"?>
<formControlPr xmlns="http://schemas.microsoft.com/office/spreadsheetml/2009/9/main" objectType="CheckBox" fmlaLink="$Q$17" noThreeD="1"/>
</file>

<file path=xl/ctrlProps/ctrlProp47.xml><?xml version="1.0" encoding="utf-8"?>
<formControlPr xmlns="http://schemas.microsoft.com/office/spreadsheetml/2009/9/main" objectType="CheckBox" fmlaLink="$Q$18" noThreeD="1"/>
</file>

<file path=xl/ctrlProps/ctrlProp48.xml><?xml version="1.0" encoding="utf-8"?>
<formControlPr xmlns="http://schemas.microsoft.com/office/spreadsheetml/2009/9/main" objectType="CheckBox" fmlaLink="$Q$19" noThreeD="1"/>
</file>

<file path=xl/ctrlProps/ctrlProp49.xml><?xml version="1.0" encoding="utf-8"?>
<formControlPr xmlns="http://schemas.microsoft.com/office/spreadsheetml/2009/9/main" objectType="CheckBox" fmlaLink="$Q$22" noThreeD="1"/>
</file>

<file path=xl/ctrlProps/ctrlProp5.xml><?xml version="1.0" encoding="utf-8"?>
<formControlPr xmlns="http://schemas.microsoft.com/office/spreadsheetml/2009/9/main" objectType="CheckBox" fmlaLink="$Q$57" noThreeD="1"/>
</file>

<file path=xl/ctrlProps/ctrlProp50.xml><?xml version="1.0" encoding="utf-8"?>
<formControlPr xmlns="http://schemas.microsoft.com/office/spreadsheetml/2009/9/main" objectType="CheckBox" fmlaLink="$Q$23" noThreeD="1"/>
</file>

<file path=xl/ctrlProps/ctrlProp51.xml><?xml version="1.0" encoding="utf-8"?>
<formControlPr xmlns="http://schemas.microsoft.com/office/spreadsheetml/2009/9/main" objectType="CheckBox" fmlaLink="$Q$20" noThreeD="1"/>
</file>

<file path=xl/ctrlProps/ctrlProp52.xml><?xml version="1.0" encoding="utf-8"?>
<formControlPr xmlns="http://schemas.microsoft.com/office/spreadsheetml/2009/9/main" objectType="CheckBox" fmlaLink="$Q$21" noThreeD="1"/>
</file>

<file path=xl/ctrlProps/ctrlProp6.xml><?xml version="1.0" encoding="utf-8"?>
<formControlPr xmlns="http://schemas.microsoft.com/office/spreadsheetml/2009/9/main" objectType="CheckBox" fmlaLink="$Q$52" noThreeD="1"/>
</file>

<file path=xl/ctrlProps/ctrlProp7.xml><?xml version="1.0" encoding="utf-8"?>
<formControlPr xmlns="http://schemas.microsoft.com/office/spreadsheetml/2009/9/main" objectType="CheckBox" fmlaLink="$Q$58" noThreeD="1"/>
</file>

<file path=xl/ctrlProps/ctrlProp8.xml><?xml version="1.0" encoding="utf-8"?>
<formControlPr xmlns="http://schemas.microsoft.com/office/spreadsheetml/2009/9/main" objectType="CheckBox" fmlaLink="$Q$56" noThreeD="1"/>
</file>

<file path=xl/ctrlProps/ctrlProp9.xml><?xml version="1.0" encoding="utf-8"?>
<formControlPr xmlns="http://schemas.microsoft.com/office/spreadsheetml/2009/9/main" objectType="CheckBox" fmlaLink="$Q$59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198120</xdr:colOff>
          <xdr:row>12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8</xdr:col>
          <xdr:colOff>198120</xdr:colOff>
          <xdr:row>29</xdr:row>
          <xdr:rowOff>175260</xdr:rowOff>
        </xdr:to>
        <xdr:sp macro="" textlink="">
          <xdr:nvSpPr>
            <xdr:cNvPr id="1026" name="Check Box 1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0</xdr:rowOff>
        </xdr:from>
        <xdr:to>
          <xdr:col>9</xdr:col>
          <xdr:colOff>198120</xdr:colOff>
          <xdr:row>14</xdr:row>
          <xdr:rowOff>175260</xdr:rowOff>
        </xdr:to>
        <xdr:sp macro="" textlink="">
          <xdr:nvSpPr>
            <xdr:cNvPr id="1030" name="Check Box 17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198120</xdr:colOff>
          <xdr:row>24</xdr:row>
          <xdr:rowOff>175260</xdr:rowOff>
        </xdr:to>
        <xdr:sp macro="" textlink="">
          <xdr:nvSpPr>
            <xdr:cNvPr id="1031" name="Check Box 190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0</xdr:rowOff>
        </xdr:from>
        <xdr:to>
          <xdr:col>8</xdr:col>
          <xdr:colOff>198120</xdr:colOff>
          <xdr:row>25</xdr:row>
          <xdr:rowOff>175260</xdr:rowOff>
        </xdr:to>
        <xdr:sp macro="" textlink="">
          <xdr:nvSpPr>
            <xdr:cNvPr id="1032" name="Check Box 19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25</xdr:row>
          <xdr:rowOff>0</xdr:rowOff>
        </xdr:from>
        <xdr:to>
          <xdr:col>9</xdr:col>
          <xdr:colOff>198120</xdr:colOff>
          <xdr:row>25</xdr:row>
          <xdr:rowOff>175260</xdr:rowOff>
        </xdr:to>
        <xdr:sp macro="" textlink="">
          <xdr:nvSpPr>
            <xdr:cNvPr id="1034" name="Check Box 19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198120</xdr:colOff>
          <xdr:row>24</xdr:row>
          <xdr:rowOff>175260</xdr:rowOff>
        </xdr:to>
        <xdr:sp macro="" textlink="">
          <xdr:nvSpPr>
            <xdr:cNvPr id="1036" name="Check Box 20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198120</xdr:colOff>
          <xdr:row>26</xdr:row>
          <xdr:rowOff>175260</xdr:rowOff>
        </xdr:to>
        <xdr:sp macro="" textlink="">
          <xdr:nvSpPr>
            <xdr:cNvPr id="1037" name="Check Box 20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198120</xdr:colOff>
          <xdr:row>27</xdr:row>
          <xdr:rowOff>175260</xdr:rowOff>
        </xdr:to>
        <xdr:sp macro="" textlink="">
          <xdr:nvSpPr>
            <xdr:cNvPr id="1038" name="Check Box 20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0</xdr:rowOff>
        </xdr:from>
        <xdr:to>
          <xdr:col>8</xdr:col>
          <xdr:colOff>198120</xdr:colOff>
          <xdr:row>28</xdr:row>
          <xdr:rowOff>175260</xdr:rowOff>
        </xdr:to>
        <xdr:sp macro="" textlink="">
          <xdr:nvSpPr>
            <xdr:cNvPr id="1039" name="Check Box 208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0</xdr:rowOff>
        </xdr:from>
        <xdr:to>
          <xdr:col>9</xdr:col>
          <xdr:colOff>198120</xdr:colOff>
          <xdr:row>28</xdr:row>
          <xdr:rowOff>175260</xdr:rowOff>
        </xdr:to>
        <xdr:sp macro="" textlink="">
          <xdr:nvSpPr>
            <xdr:cNvPr id="1040" name="Check Box 210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198120</xdr:colOff>
          <xdr:row>27</xdr:row>
          <xdr:rowOff>175260</xdr:rowOff>
        </xdr:to>
        <xdr:sp macro="" textlink="">
          <xdr:nvSpPr>
            <xdr:cNvPr id="1041" name="Check Box 21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198120</xdr:colOff>
          <xdr:row>26</xdr:row>
          <xdr:rowOff>175260</xdr:rowOff>
        </xdr:to>
        <xdr:sp macro="" textlink="">
          <xdr:nvSpPr>
            <xdr:cNvPr id="1042" name="Check Box 21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29</xdr:row>
          <xdr:rowOff>0</xdr:rowOff>
        </xdr:from>
        <xdr:to>
          <xdr:col>9</xdr:col>
          <xdr:colOff>198120</xdr:colOff>
          <xdr:row>29</xdr:row>
          <xdr:rowOff>175260</xdr:rowOff>
        </xdr:to>
        <xdr:sp macro="" textlink="">
          <xdr:nvSpPr>
            <xdr:cNvPr id="1043" name="Check Box 2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198120</xdr:colOff>
          <xdr:row>33</xdr:row>
          <xdr:rowOff>175260</xdr:rowOff>
        </xdr:to>
        <xdr:sp macro="" textlink="">
          <xdr:nvSpPr>
            <xdr:cNvPr id="1045" name="Check Box 23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198120</xdr:colOff>
          <xdr:row>36</xdr:row>
          <xdr:rowOff>175260</xdr:rowOff>
        </xdr:to>
        <xdr:sp macro="" textlink="">
          <xdr:nvSpPr>
            <xdr:cNvPr id="1048" name="Check Box 24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0</xdr:rowOff>
        </xdr:from>
        <xdr:to>
          <xdr:col>8</xdr:col>
          <xdr:colOff>198120</xdr:colOff>
          <xdr:row>44</xdr:row>
          <xdr:rowOff>175260</xdr:rowOff>
        </xdr:to>
        <xdr:sp macro="" textlink="">
          <xdr:nvSpPr>
            <xdr:cNvPr id="1055" name="Check Box 289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8</xdr:col>
          <xdr:colOff>198120</xdr:colOff>
          <xdr:row>45</xdr:row>
          <xdr:rowOff>175260</xdr:rowOff>
        </xdr:to>
        <xdr:sp macro="" textlink="">
          <xdr:nvSpPr>
            <xdr:cNvPr id="1056" name="Check Box 290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0</xdr:rowOff>
        </xdr:from>
        <xdr:to>
          <xdr:col>8</xdr:col>
          <xdr:colOff>198120</xdr:colOff>
          <xdr:row>47</xdr:row>
          <xdr:rowOff>175260</xdr:rowOff>
        </xdr:to>
        <xdr:sp macro="" textlink="">
          <xdr:nvSpPr>
            <xdr:cNvPr id="1062" name="Check Box 297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</xdr:colOff>
          <xdr:row>52</xdr:row>
          <xdr:rowOff>609600</xdr:rowOff>
        </xdr:from>
        <xdr:to>
          <xdr:col>8</xdr:col>
          <xdr:colOff>213360</xdr:colOff>
          <xdr:row>54</xdr:row>
          <xdr:rowOff>114300</xdr:rowOff>
        </xdr:to>
        <xdr:sp macro="" textlink="">
          <xdr:nvSpPr>
            <xdr:cNvPr id="1065" name="Check Box 30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99060</xdr:rowOff>
        </xdr:from>
        <xdr:to>
          <xdr:col>8</xdr:col>
          <xdr:colOff>198120</xdr:colOff>
          <xdr:row>56</xdr:row>
          <xdr:rowOff>266700</xdr:rowOff>
        </xdr:to>
        <xdr:sp macro="" textlink="">
          <xdr:nvSpPr>
            <xdr:cNvPr id="1066" name="Check Box 30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8</xdr:col>
          <xdr:colOff>198120</xdr:colOff>
          <xdr:row>13</xdr:row>
          <xdr:rowOff>175260</xdr:rowOff>
        </xdr:to>
        <xdr:sp macro="" textlink="">
          <xdr:nvSpPr>
            <xdr:cNvPr id="1070" name="Check Box 3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0</xdr:rowOff>
        </xdr:from>
        <xdr:to>
          <xdr:col>8</xdr:col>
          <xdr:colOff>198120</xdr:colOff>
          <xdr:row>35</xdr:row>
          <xdr:rowOff>175260</xdr:rowOff>
        </xdr:to>
        <xdr:sp macro="" textlink="">
          <xdr:nvSpPr>
            <xdr:cNvPr id="1072" name="Check Box 324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0</xdr:rowOff>
        </xdr:from>
        <xdr:to>
          <xdr:col>8</xdr:col>
          <xdr:colOff>198120</xdr:colOff>
          <xdr:row>30</xdr:row>
          <xdr:rowOff>175260</xdr:rowOff>
        </xdr:to>
        <xdr:sp macro="" textlink="">
          <xdr:nvSpPr>
            <xdr:cNvPr id="1074" name="Check Box 327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0</xdr:rowOff>
        </xdr:from>
        <xdr:to>
          <xdr:col>8</xdr:col>
          <xdr:colOff>198120</xdr:colOff>
          <xdr:row>32</xdr:row>
          <xdr:rowOff>175260</xdr:rowOff>
        </xdr:to>
        <xdr:sp macro="" textlink="">
          <xdr:nvSpPr>
            <xdr:cNvPr id="1080" name="Check Box 333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198120</xdr:colOff>
          <xdr:row>52</xdr:row>
          <xdr:rowOff>0</xdr:rowOff>
        </xdr:to>
        <xdr:sp macro="" textlink="">
          <xdr:nvSpPr>
            <xdr:cNvPr id="1087" name="Check Box 30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198120</xdr:colOff>
          <xdr:row>58</xdr:row>
          <xdr:rowOff>0</xdr:rowOff>
        </xdr:to>
        <xdr:sp macro="" textlink="">
          <xdr:nvSpPr>
            <xdr:cNvPr id="1088" name="Check Box 30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23</xdr:row>
          <xdr:rowOff>15240</xdr:rowOff>
        </xdr:from>
        <xdr:to>
          <xdr:col>9</xdr:col>
          <xdr:colOff>205740</xdr:colOff>
          <xdr:row>23</xdr:row>
          <xdr:rowOff>190500</xdr:rowOff>
        </xdr:to>
        <xdr:sp macro="" textlink="">
          <xdr:nvSpPr>
            <xdr:cNvPr id="1092" name="Check Box 200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68580</xdr:rowOff>
        </xdr:from>
        <xdr:to>
          <xdr:col>8</xdr:col>
          <xdr:colOff>198120</xdr:colOff>
          <xdr:row>55</xdr:row>
          <xdr:rowOff>236220</xdr:rowOff>
        </xdr:to>
        <xdr:sp macro="" textlink="">
          <xdr:nvSpPr>
            <xdr:cNvPr id="1096" name="Check Box 30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0</xdr:rowOff>
        </xdr:from>
        <xdr:to>
          <xdr:col>8</xdr:col>
          <xdr:colOff>198120</xdr:colOff>
          <xdr:row>59</xdr:row>
          <xdr:rowOff>0</xdr:rowOff>
        </xdr:to>
        <xdr:sp macro="" textlink="">
          <xdr:nvSpPr>
            <xdr:cNvPr id="1097" name="Check Box 30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0</xdr:rowOff>
        </xdr:from>
        <xdr:to>
          <xdr:col>8</xdr:col>
          <xdr:colOff>198120</xdr:colOff>
          <xdr:row>62</xdr:row>
          <xdr:rowOff>0</xdr:rowOff>
        </xdr:to>
        <xdr:sp macro="" textlink="">
          <xdr:nvSpPr>
            <xdr:cNvPr id="1098" name="Check Box 302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259080</xdr:colOff>
          <xdr:row>52</xdr:row>
          <xdr:rowOff>76200</xdr:rowOff>
        </xdr:from>
        <xdr:to>
          <xdr:col>8</xdr:col>
          <xdr:colOff>190500</xdr:colOff>
          <xdr:row>52</xdr:row>
          <xdr:rowOff>251460</xdr:rowOff>
        </xdr:to>
        <xdr:sp macro="" textlink="">
          <xdr:nvSpPr>
            <xdr:cNvPr id="1100" name="Check Box 30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0</xdr:rowOff>
        </xdr:from>
        <xdr:to>
          <xdr:col>9</xdr:col>
          <xdr:colOff>198120</xdr:colOff>
          <xdr:row>38</xdr:row>
          <xdr:rowOff>175260</xdr:rowOff>
        </xdr:to>
        <xdr:sp macro="" textlink="">
          <xdr:nvSpPr>
            <xdr:cNvPr id="1118" name="Check Box 19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39</xdr:row>
          <xdr:rowOff>0</xdr:rowOff>
        </xdr:from>
        <xdr:to>
          <xdr:col>9</xdr:col>
          <xdr:colOff>198120</xdr:colOff>
          <xdr:row>39</xdr:row>
          <xdr:rowOff>175260</xdr:rowOff>
        </xdr:to>
        <xdr:sp macro="" textlink="">
          <xdr:nvSpPr>
            <xdr:cNvPr id="1119" name="Check Box 190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40</xdr:row>
          <xdr:rowOff>0</xdr:rowOff>
        </xdr:from>
        <xdr:to>
          <xdr:col>8</xdr:col>
          <xdr:colOff>335280</xdr:colOff>
          <xdr:row>41</xdr:row>
          <xdr:rowOff>7620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14</xdr:row>
          <xdr:rowOff>175260</xdr:rowOff>
        </xdr:from>
        <xdr:to>
          <xdr:col>8</xdr:col>
          <xdr:colOff>297180</xdr:colOff>
          <xdr:row>15</xdr:row>
          <xdr:rowOff>182880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182880</xdr:rowOff>
        </xdr:from>
        <xdr:to>
          <xdr:col>9</xdr:col>
          <xdr:colOff>304800</xdr:colOff>
          <xdr:row>15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160020</xdr:rowOff>
        </xdr:from>
        <xdr:to>
          <xdr:col>8</xdr:col>
          <xdr:colOff>304800</xdr:colOff>
          <xdr:row>34</xdr:row>
          <xdr:rowOff>182880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0</xdr:rowOff>
        </xdr:from>
        <xdr:to>
          <xdr:col>8</xdr:col>
          <xdr:colOff>198120</xdr:colOff>
          <xdr:row>61</xdr:row>
          <xdr:rowOff>0</xdr:rowOff>
        </xdr:to>
        <xdr:sp macro="" textlink="">
          <xdr:nvSpPr>
            <xdr:cNvPr id="1131" name="Check Box 302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182880</xdr:rowOff>
        </xdr:from>
        <xdr:to>
          <xdr:col>8</xdr:col>
          <xdr:colOff>182880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0</xdr:rowOff>
        </xdr:from>
        <xdr:to>
          <xdr:col>8</xdr:col>
          <xdr:colOff>198120</xdr:colOff>
          <xdr:row>55</xdr:row>
          <xdr:rowOff>0</xdr:rowOff>
        </xdr:to>
        <xdr:sp macro="" textlink="">
          <xdr:nvSpPr>
            <xdr:cNvPr id="1136" name="Check Box 30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0</xdr:rowOff>
        </xdr:from>
        <xdr:to>
          <xdr:col>8</xdr:col>
          <xdr:colOff>198120</xdr:colOff>
          <xdr:row>60</xdr:row>
          <xdr:rowOff>0</xdr:rowOff>
        </xdr:to>
        <xdr:sp macro="" textlink="">
          <xdr:nvSpPr>
            <xdr:cNvPr id="1137" name="Check Box 302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49</xdr:row>
          <xdr:rowOff>0</xdr:rowOff>
        </xdr:from>
        <xdr:to>
          <xdr:col>8</xdr:col>
          <xdr:colOff>266700</xdr:colOff>
          <xdr:row>49</xdr:row>
          <xdr:rowOff>0</xdr:rowOff>
        </xdr:to>
        <xdr:sp macro="" textlink="">
          <xdr:nvSpPr>
            <xdr:cNvPr id="1139" name="Check Box 297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198120</xdr:rowOff>
        </xdr:from>
        <xdr:to>
          <xdr:col>8</xdr:col>
          <xdr:colOff>175260</xdr:colOff>
          <xdr:row>48</xdr:row>
          <xdr:rowOff>175260</xdr:rowOff>
        </xdr:to>
        <xdr:sp macro="" textlink="">
          <xdr:nvSpPr>
            <xdr:cNvPr id="1140" name="Check Box 297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198120</xdr:colOff>
          <xdr:row>31</xdr:row>
          <xdr:rowOff>175260</xdr:rowOff>
        </xdr:to>
        <xdr:sp macro="" textlink="">
          <xdr:nvSpPr>
            <xdr:cNvPr id="1141" name="Check Box 3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16</xdr:row>
          <xdr:rowOff>15240</xdr:rowOff>
        </xdr:from>
        <xdr:to>
          <xdr:col>9</xdr:col>
          <xdr:colOff>205740</xdr:colOff>
          <xdr:row>16</xdr:row>
          <xdr:rowOff>190500</xdr:rowOff>
        </xdr:to>
        <xdr:sp macro="" textlink="">
          <xdr:nvSpPr>
            <xdr:cNvPr id="1142" name="Check Box 200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17</xdr:row>
          <xdr:rowOff>15240</xdr:rowOff>
        </xdr:from>
        <xdr:to>
          <xdr:col>9</xdr:col>
          <xdr:colOff>205740</xdr:colOff>
          <xdr:row>17</xdr:row>
          <xdr:rowOff>190500</xdr:rowOff>
        </xdr:to>
        <xdr:sp macro="" textlink="">
          <xdr:nvSpPr>
            <xdr:cNvPr id="1143" name="Check Box 200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18</xdr:row>
          <xdr:rowOff>15240</xdr:rowOff>
        </xdr:from>
        <xdr:to>
          <xdr:col>9</xdr:col>
          <xdr:colOff>205740</xdr:colOff>
          <xdr:row>18</xdr:row>
          <xdr:rowOff>190500</xdr:rowOff>
        </xdr:to>
        <xdr:sp macro="" textlink="">
          <xdr:nvSpPr>
            <xdr:cNvPr id="1144" name="Check Box 20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21</xdr:row>
          <xdr:rowOff>15240</xdr:rowOff>
        </xdr:from>
        <xdr:to>
          <xdr:col>9</xdr:col>
          <xdr:colOff>205740</xdr:colOff>
          <xdr:row>21</xdr:row>
          <xdr:rowOff>190500</xdr:rowOff>
        </xdr:to>
        <xdr:sp macro="" textlink="">
          <xdr:nvSpPr>
            <xdr:cNvPr id="1145" name="Check Box 200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22</xdr:row>
          <xdr:rowOff>15240</xdr:rowOff>
        </xdr:from>
        <xdr:to>
          <xdr:col>9</xdr:col>
          <xdr:colOff>205740</xdr:colOff>
          <xdr:row>22</xdr:row>
          <xdr:rowOff>190500</xdr:rowOff>
        </xdr:to>
        <xdr:sp macro="" textlink="">
          <xdr:nvSpPr>
            <xdr:cNvPr id="1146" name="Check Box 200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19</xdr:row>
          <xdr:rowOff>15240</xdr:rowOff>
        </xdr:from>
        <xdr:to>
          <xdr:col>9</xdr:col>
          <xdr:colOff>205740</xdr:colOff>
          <xdr:row>19</xdr:row>
          <xdr:rowOff>190500</xdr:rowOff>
        </xdr:to>
        <xdr:sp macro="" textlink="">
          <xdr:nvSpPr>
            <xdr:cNvPr id="1147" name="Check Box 200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20</xdr:row>
          <xdr:rowOff>15240</xdr:rowOff>
        </xdr:from>
        <xdr:to>
          <xdr:col>9</xdr:col>
          <xdr:colOff>205740</xdr:colOff>
          <xdr:row>20</xdr:row>
          <xdr:rowOff>190500</xdr:rowOff>
        </xdr:to>
        <xdr:sp macro="" textlink="">
          <xdr:nvSpPr>
            <xdr:cNvPr id="1148" name="Check Box 200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675"/>
  <sheetViews>
    <sheetView showGridLines="0" tabSelected="1" topLeftCell="A21" zoomScale="112" zoomScaleNormal="112" zoomScaleSheetLayoutView="100" workbookViewId="0">
      <selection activeCell="AD24" sqref="AD24"/>
    </sheetView>
  </sheetViews>
  <sheetFormatPr defaultColWidth="9.88671875" defaultRowHeight="15.6" x14ac:dyDescent="0.25"/>
  <cols>
    <col min="1" max="1" width="2.88671875" style="4" customWidth="1"/>
    <col min="2" max="2" width="3" style="4" customWidth="1"/>
    <col min="3" max="3" width="15" style="4" customWidth="1"/>
    <col min="4" max="4" width="11.44140625" style="4" customWidth="1"/>
    <col min="5" max="5" width="22.6640625" style="4" customWidth="1"/>
    <col min="6" max="8" width="4" style="4" customWidth="1"/>
    <col min="9" max="9" width="9.6640625" style="4" customWidth="1"/>
    <col min="10" max="10" width="10" style="4" customWidth="1"/>
    <col min="11" max="11" width="3.33203125" style="5" customWidth="1"/>
    <col min="12" max="12" width="28.44140625" style="6" bestFit="1" customWidth="1"/>
    <col min="13" max="13" width="3.33203125" style="7" bestFit="1" customWidth="1"/>
    <col min="14" max="14" width="14" style="7" customWidth="1"/>
    <col min="15" max="15" width="15.21875" style="7" customWidth="1"/>
    <col min="16" max="16" width="34.5546875" style="8" hidden="1" customWidth="1"/>
    <col min="17" max="17" width="7.88671875" style="9" hidden="1" customWidth="1"/>
    <col min="18" max="18" width="7.77734375" style="9" hidden="1" customWidth="1"/>
    <col min="19" max="19" width="9.6640625" style="9" hidden="1" customWidth="1"/>
    <col min="20" max="20" width="6.33203125" style="9" hidden="1" customWidth="1"/>
    <col min="21" max="21" width="8.77734375" style="9" hidden="1" customWidth="1"/>
    <col min="22" max="22" width="10.21875" style="9" hidden="1" customWidth="1"/>
    <col min="23" max="23" width="11" style="9" hidden="1" customWidth="1"/>
    <col min="24" max="24" width="9.6640625" style="9" hidden="1" customWidth="1"/>
    <col min="25" max="25" width="14" style="9" hidden="1" customWidth="1"/>
    <col min="26" max="26" width="16.33203125" style="9" customWidth="1"/>
    <col min="27" max="16384" width="9.88671875" style="9"/>
  </cols>
  <sheetData>
    <row r="1" spans="1:25" s="12" customFormat="1" ht="18" x14ac:dyDescent="0.25">
      <c r="A1" s="407" t="s">
        <v>140</v>
      </c>
      <c r="B1" s="407"/>
      <c r="C1" s="407"/>
      <c r="D1" s="407"/>
      <c r="E1" s="407"/>
      <c r="F1" s="407"/>
      <c r="G1" s="407"/>
      <c r="H1" s="407"/>
      <c r="I1" s="407"/>
      <c r="J1" s="407"/>
      <c r="K1" s="10"/>
      <c r="L1" s="6"/>
      <c r="M1" s="7"/>
      <c r="N1" s="7"/>
      <c r="O1" s="7"/>
      <c r="P1" s="11"/>
    </row>
    <row r="2" spans="1:25" s="12" customFormat="1" ht="5.25" customHeight="1" x14ac:dyDescent="0.25">
      <c r="A2" s="408" t="s">
        <v>157</v>
      </c>
      <c r="B2" s="408"/>
      <c r="C2" s="408"/>
      <c r="D2" s="408"/>
      <c r="E2" s="408"/>
      <c r="F2" s="408"/>
      <c r="G2" s="408"/>
      <c r="H2" s="408"/>
      <c r="I2" s="408"/>
      <c r="J2" s="408"/>
      <c r="K2" s="13"/>
      <c r="L2" s="14"/>
      <c r="N2" s="7"/>
      <c r="O2" s="7"/>
      <c r="P2" s="11"/>
    </row>
    <row r="3" spans="1:25" s="12" customFormat="1" ht="19.5" customHeight="1" x14ac:dyDescent="0.2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13"/>
      <c r="L3" s="15" t="s">
        <v>0</v>
      </c>
      <c r="M3" s="16">
        <f>D68</f>
        <v>0</v>
      </c>
      <c r="N3" s="17" t="str">
        <f>IF((M3&gt;7),"","Dalykų turi būti ne mažiau kaip 8")</f>
        <v>Dalykų turi būti ne mažiau kaip 8</v>
      </c>
      <c r="O3" s="7"/>
      <c r="P3" s="11"/>
    </row>
    <row r="4" spans="1:25" ht="6.75" customHeight="1" x14ac:dyDescent="0.25">
      <c r="L4" s="18"/>
      <c r="M4" s="19"/>
      <c r="N4" s="20"/>
      <c r="Q4" s="4"/>
    </row>
    <row r="5" spans="1:25" ht="16.5" customHeight="1" x14ac:dyDescent="0.25">
      <c r="B5" s="21"/>
      <c r="C5" s="22" t="s">
        <v>1</v>
      </c>
      <c r="D5" s="23"/>
      <c r="E5" s="409" t="s">
        <v>2</v>
      </c>
      <c r="F5" s="409"/>
      <c r="G5" s="401"/>
      <c r="H5" s="401"/>
      <c r="I5" s="401"/>
      <c r="J5" s="401"/>
      <c r="K5" s="13"/>
      <c r="L5" s="15" t="s">
        <v>3</v>
      </c>
      <c r="M5" s="16">
        <f>D70</f>
        <v>0</v>
      </c>
      <c r="N5" s="17" t="str">
        <f>IF((M5&lt;=34)*(M5&gt;=28),"","Pamokų turi būti ne mažiau kaip 28 ir ne daugiau kaip 34")</f>
        <v>Pamokų turi būti ne mažiau kaip 28 ir ne daugiau kaip 34</v>
      </c>
      <c r="Q5" s="4"/>
    </row>
    <row r="6" spans="1:25" s="24" customFormat="1" ht="9" customHeight="1" x14ac:dyDescent="0.25">
      <c r="B6" s="25"/>
      <c r="C6" s="26"/>
      <c r="D6" s="27"/>
      <c r="E6" s="27"/>
      <c r="F6" s="26"/>
      <c r="G6" s="26"/>
      <c r="H6" s="26"/>
      <c r="I6" s="28"/>
      <c r="K6" s="5"/>
      <c r="L6" s="18"/>
      <c r="M6" s="19"/>
      <c r="N6" s="20"/>
      <c r="O6" s="29"/>
      <c r="P6" s="30"/>
    </row>
    <row r="7" spans="1:25" ht="16.5" customHeight="1" x14ac:dyDescent="0.25">
      <c r="B7" s="31"/>
      <c r="C7" s="22"/>
      <c r="D7" s="32"/>
      <c r="F7" s="22" t="s">
        <v>4</v>
      </c>
      <c r="G7" s="401"/>
      <c r="H7" s="401"/>
      <c r="I7" s="33"/>
      <c r="J7" s="33"/>
      <c r="K7" s="34"/>
      <c r="L7" s="15" t="s">
        <v>5</v>
      </c>
      <c r="M7" s="16">
        <f>D72</f>
        <v>0</v>
      </c>
      <c r="N7" s="17" t="str">
        <f>IF((M7&lt;=34)*(M7&gt;=28),"","Pamokų turi būti ne mažiau kaip 28 ir ne daugiau kaip 34")</f>
        <v>Pamokų turi būti ne mažiau kaip 28 ir ne daugiau kaip 34</v>
      </c>
      <c r="Q7" s="4"/>
    </row>
    <row r="8" spans="1:25" ht="12.75" customHeight="1" x14ac:dyDescent="0.25">
      <c r="B8" s="31"/>
      <c r="F8" s="22"/>
      <c r="G8" s="32"/>
      <c r="H8" s="32"/>
      <c r="I8" s="33"/>
      <c r="J8" s="33"/>
      <c r="K8" s="34"/>
      <c r="Q8" s="4"/>
    </row>
    <row r="9" spans="1:25" s="35" customFormat="1" ht="12" x14ac:dyDescent="0.25">
      <c r="B9" s="36" t="s">
        <v>6</v>
      </c>
      <c r="K9" s="37"/>
      <c r="L9" s="38"/>
      <c r="M9" s="39"/>
      <c r="N9" s="39"/>
      <c r="O9" s="39"/>
    </row>
    <row r="10" spans="1:25" ht="10.5" customHeight="1" x14ac:dyDescent="0.25">
      <c r="B10" s="40"/>
      <c r="Q10" s="4"/>
    </row>
    <row r="11" spans="1:25" ht="24" customHeight="1" x14ac:dyDescent="0.25">
      <c r="A11" s="103"/>
      <c r="B11" s="402" t="s">
        <v>7</v>
      </c>
      <c r="C11" s="403" t="s">
        <v>8</v>
      </c>
      <c r="D11" s="404" t="s">
        <v>9</v>
      </c>
      <c r="E11" s="404"/>
      <c r="F11" s="405" t="s">
        <v>10</v>
      </c>
      <c r="G11" s="404" t="s">
        <v>11</v>
      </c>
      <c r="H11" s="404"/>
      <c r="I11" s="406" t="s">
        <v>136</v>
      </c>
      <c r="J11" s="406" t="s">
        <v>137</v>
      </c>
      <c r="K11" s="42"/>
      <c r="M11" s="6"/>
      <c r="N11" s="6"/>
      <c r="O11" s="6"/>
      <c r="P11" s="410" t="s">
        <v>9</v>
      </c>
      <c r="Q11" s="400" t="s">
        <v>12</v>
      </c>
      <c r="R11" s="400" t="s">
        <v>13</v>
      </c>
      <c r="S11" s="398" t="s">
        <v>14</v>
      </c>
      <c r="T11" s="398" t="s">
        <v>15</v>
      </c>
      <c r="U11" s="398" t="s">
        <v>16</v>
      </c>
      <c r="V11" s="399" t="s">
        <v>10</v>
      </c>
      <c r="W11" s="387" t="s">
        <v>17</v>
      </c>
      <c r="X11" s="387" t="s">
        <v>18</v>
      </c>
      <c r="Y11" s="388" t="s">
        <v>19</v>
      </c>
    </row>
    <row r="12" spans="1:25" ht="38.25" customHeight="1" x14ac:dyDescent="0.25">
      <c r="A12" s="103"/>
      <c r="B12" s="402"/>
      <c r="C12" s="403"/>
      <c r="D12" s="404"/>
      <c r="E12" s="404"/>
      <c r="F12" s="405"/>
      <c r="G12" s="41" t="s">
        <v>20</v>
      </c>
      <c r="H12" s="41" t="s">
        <v>21</v>
      </c>
      <c r="I12" s="406"/>
      <c r="J12" s="406"/>
      <c r="K12" s="44"/>
      <c r="M12" s="6"/>
      <c r="N12" s="6"/>
      <c r="O12" s="6"/>
      <c r="P12" s="410"/>
      <c r="Q12" s="400"/>
      <c r="R12" s="400"/>
      <c r="S12" s="398"/>
      <c r="T12" s="398"/>
      <c r="U12" s="398"/>
      <c r="V12" s="399"/>
      <c r="W12" s="387"/>
      <c r="X12" s="387"/>
      <c r="Y12" s="388"/>
    </row>
    <row r="13" spans="1:25" ht="15.75" customHeight="1" x14ac:dyDescent="0.25">
      <c r="A13" s="389"/>
      <c r="B13" s="359">
        <v>1</v>
      </c>
      <c r="C13" s="390" t="s">
        <v>22</v>
      </c>
      <c r="D13" s="391" t="s">
        <v>23</v>
      </c>
      <c r="E13" s="391"/>
      <c r="F13" s="45" t="str">
        <f t="shared" ref="F13:F37" si="0">V13</f>
        <v/>
      </c>
      <c r="G13" s="45" t="str">
        <f t="shared" ref="G13:G37" si="1">X13</f>
        <v/>
      </c>
      <c r="H13" s="45" t="str">
        <f t="shared" ref="H13:H37" si="2">Y13</f>
        <v/>
      </c>
      <c r="I13" s="46"/>
      <c r="J13" s="47" t="s">
        <v>24</v>
      </c>
      <c r="K13" s="48"/>
      <c r="L13" s="392" t="str">
        <f>IF(SUM(U13:U14)=0,"Privaloma pasirinkti vieną dorinio ugdymo dalyką (tik III klasėje)",IF(U13+U14&gt;1,"Galima riktis tik vieną dorinio ugdymo dalyką",""))</f>
        <v>Privaloma pasirinkti vieną dorinio ugdymo dalyką (tik III klasėje)</v>
      </c>
      <c r="M13" s="392"/>
      <c r="N13" s="392"/>
      <c r="O13" s="268"/>
      <c r="P13" s="271" t="str">
        <f t="shared" ref="P13:P37" si="3">D13</f>
        <v>Etika</v>
      </c>
      <c r="Q13" s="49" t="b">
        <v>0</v>
      </c>
      <c r="R13" s="50"/>
      <c r="S13" s="51">
        <f>IF((Q13)*(T13=1),1,0)</f>
        <v>0</v>
      </c>
      <c r="T13" s="52">
        <f>IF(SUM($U$13:$U$14)=1,1,0)</f>
        <v>0</v>
      </c>
      <c r="U13" s="52">
        <f>IF(Q13,1,0)</f>
        <v>0</v>
      </c>
      <c r="V13" s="51" t="str">
        <f>IF(W13=0,"","B")</f>
        <v/>
      </c>
      <c r="W13" s="52">
        <f>IF((Q13=TRUE)*(T13=1),2,0)</f>
        <v>0</v>
      </c>
      <c r="X13" s="52" t="str">
        <f>IF(W13=0,"",2)</f>
        <v/>
      </c>
      <c r="Y13" s="282" t="str">
        <f>IF(W13=0,"",0)</f>
        <v/>
      </c>
    </row>
    <row r="14" spans="1:25" ht="16.5" customHeight="1" thickBot="1" x14ac:dyDescent="0.3">
      <c r="A14" s="389"/>
      <c r="B14" s="359"/>
      <c r="C14" s="390"/>
      <c r="D14" s="393" t="s">
        <v>25</v>
      </c>
      <c r="E14" s="393"/>
      <c r="F14" s="54" t="str">
        <f t="shared" si="0"/>
        <v/>
      </c>
      <c r="G14" s="54" t="str">
        <f t="shared" si="1"/>
        <v/>
      </c>
      <c r="H14" s="54" t="str">
        <f t="shared" si="2"/>
        <v/>
      </c>
      <c r="I14" s="197"/>
      <c r="J14" s="56" t="s">
        <v>24</v>
      </c>
      <c r="K14" s="48"/>
      <c r="L14" s="392"/>
      <c r="M14" s="392"/>
      <c r="N14" s="392"/>
      <c r="O14" s="268"/>
      <c r="P14" s="109" t="str">
        <f t="shared" si="3"/>
        <v>Tikyba</v>
      </c>
      <c r="Q14" s="57" t="b">
        <v>0</v>
      </c>
      <c r="R14" s="213"/>
      <c r="S14" s="59">
        <f>IF((Q14)*(T14=1),1,0)</f>
        <v>0</v>
      </c>
      <c r="T14" s="60">
        <f>IF(SUM($U$13:$U$14)=1,1,0)</f>
        <v>0</v>
      </c>
      <c r="U14" s="214">
        <f>IF(Q14,1,0)</f>
        <v>0</v>
      </c>
      <c r="V14" s="214" t="str">
        <f>IF(W14=0,"","B")</f>
        <v/>
      </c>
      <c r="W14" s="215">
        <f>IF((Q14=TRUE)*(T14=1),2,0)</f>
        <v>0</v>
      </c>
      <c r="X14" s="215" t="str">
        <f>IF(W14=0,"",2)</f>
        <v/>
      </c>
      <c r="Y14" s="283" t="str">
        <f>IF(W14=0,"",0)</f>
        <v/>
      </c>
    </row>
    <row r="15" spans="1:25" s="69" customFormat="1" ht="16.5" customHeight="1" thickBot="1" x14ac:dyDescent="0.3">
      <c r="A15" s="389"/>
      <c r="B15" s="237">
        <v>2</v>
      </c>
      <c r="C15" s="258" t="s">
        <v>26</v>
      </c>
      <c r="D15" s="324" t="s">
        <v>27</v>
      </c>
      <c r="E15" s="324"/>
      <c r="F15" s="61" t="str">
        <f t="shared" si="0"/>
        <v/>
      </c>
      <c r="G15" s="61" t="str">
        <f t="shared" si="1"/>
        <v/>
      </c>
      <c r="H15" s="61" t="str">
        <f t="shared" si="2"/>
        <v/>
      </c>
      <c r="I15" s="307" t="s">
        <v>24</v>
      </c>
      <c r="J15" s="62"/>
      <c r="K15" s="63"/>
      <c r="L15" s="392" t="str">
        <f>IF(AND(NOT(Q15),NOT(R15)),"Privaloma pasirinkti gimtąją kalbą (A kursas)",IF(OR(AND(Q15,R15),AND(Q15,)),"Galima rinktis tik A arba B kursą",""))</f>
        <v>Privaloma pasirinkti gimtąją kalbą (A kursas)</v>
      </c>
      <c r="M15" s="392"/>
      <c r="N15" s="392"/>
      <c r="O15" s="119"/>
      <c r="P15" s="272" t="str">
        <f t="shared" si="3"/>
        <v>Lietuvių kalba ir literatūra</v>
      </c>
      <c r="Q15" s="212" t="b">
        <v>0</v>
      </c>
      <c r="R15" s="212" t="b">
        <v>0</v>
      </c>
      <c r="S15" s="224">
        <f>IF(OR(Q15,R15),1,0)</f>
        <v>0</v>
      </c>
      <c r="T15" s="224"/>
      <c r="U15" s="225"/>
      <c r="V15" s="225" t="str">
        <f>IF(W15=0,"",IF(Q15,"B","A"))</f>
        <v/>
      </c>
      <c r="W15" s="225">
        <f>IF((Q15=TRUE)*(R15=FALSE),10,IF((Q15=FALSE)*(R15=TRUE),10,0))</f>
        <v>0</v>
      </c>
      <c r="X15" s="225" t="str">
        <f>IF(W15=0,"",IF(W15=11,5,6))</f>
        <v/>
      </c>
      <c r="Y15" s="284" t="str">
        <f>IF(W15=0,"",IF(W15=11,5,6))</f>
        <v/>
      </c>
    </row>
    <row r="16" spans="1:25" s="69" customFormat="1" ht="16.5" customHeight="1" thickBot="1" x14ac:dyDescent="0.3">
      <c r="A16" s="389"/>
      <c r="B16" s="237">
        <v>3</v>
      </c>
      <c r="C16" s="258" t="s">
        <v>32</v>
      </c>
      <c r="D16" s="360" t="s">
        <v>32</v>
      </c>
      <c r="E16" s="360"/>
      <c r="F16" s="61" t="str">
        <f>V16</f>
        <v/>
      </c>
      <c r="G16" s="61" t="str">
        <f>X16</f>
        <v/>
      </c>
      <c r="H16" s="61" t="str">
        <f>Y16</f>
        <v/>
      </c>
      <c r="I16" s="223"/>
      <c r="J16" s="62"/>
      <c r="K16" s="63"/>
      <c r="L16" s="411" t="str">
        <f>IF(AND(NOT(Q16),NOT(R16)),"Privaloma pasirinkti matematiką (A arba B kursai)",IF(AND(Q16,R16),"Galima rinktis tik A arba B kursą",""))</f>
        <v>Privaloma pasirinkti matematiką (A arba B kursai)</v>
      </c>
      <c r="M16" s="411"/>
      <c r="N16" s="411"/>
      <c r="O16" s="119"/>
      <c r="P16" s="273" t="str">
        <f>D16</f>
        <v>Matematika</v>
      </c>
      <c r="Q16" s="57" t="b">
        <v>0</v>
      </c>
      <c r="R16" s="64" t="b">
        <v>0</v>
      </c>
      <c r="S16" s="68">
        <f>IF((Q16+R16)*NOT(Q16*R16),1,0)</f>
        <v>0</v>
      </c>
      <c r="T16" s="81"/>
      <c r="U16" s="66"/>
      <c r="V16" s="68" t="str">
        <f>IF((Q16=TRUE)*(W16=6),"B",IF((R16=TRUE)*(W16=9),"A",""))</f>
        <v/>
      </c>
      <c r="W16" s="65">
        <f>IF((Q16=TRUE)*(R16=FALSE),6,IF((Q16=FALSE)*(R16=TRUE),9,0))</f>
        <v>0</v>
      </c>
      <c r="X16" s="67" t="str">
        <f>IF(W16=0,"",IF(W16=9,5,3))</f>
        <v/>
      </c>
      <c r="Y16" s="68" t="str">
        <f>IF(W16=0,"",IF(W16=6,3,6))</f>
        <v/>
      </c>
    </row>
    <row r="17" spans="1:25" ht="16.5" customHeight="1" thickBot="1" x14ac:dyDescent="0.3">
      <c r="A17" s="389"/>
      <c r="B17" s="415">
        <v>4</v>
      </c>
      <c r="C17" s="414" t="s">
        <v>28</v>
      </c>
      <c r="D17" s="324" t="s">
        <v>141</v>
      </c>
      <c r="E17" s="324"/>
      <c r="F17" s="70" t="str">
        <f t="shared" ref="F17:F22" si="4">V17</f>
        <v/>
      </c>
      <c r="G17" s="70" t="str">
        <f t="shared" ref="G17:G22" si="5">X17</f>
        <v/>
      </c>
      <c r="H17" s="70" t="str">
        <f t="shared" ref="H17:H22" si="6">Y17</f>
        <v/>
      </c>
      <c r="I17" s="308" t="s">
        <v>24</v>
      </c>
      <c r="J17" s="306"/>
      <c r="K17" s="48"/>
      <c r="L17" s="392" t="str">
        <f>IF((S17)=0,"Privaloma pasirinkti užsienio kalbą (B2 lygis)",IF(S17=1,""))</f>
        <v>Privaloma pasirinkti užsienio kalbą (B2 lygis)</v>
      </c>
      <c r="M17" s="392"/>
      <c r="N17" s="392"/>
      <c r="O17" s="270"/>
      <c r="P17" s="274" t="str">
        <f t="shared" ref="P17:P22" si="7">D17</f>
        <v>Užsienio kalba (anglų) (B2)</v>
      </c>
      <c r="Q17" s="226" t="b">
        <v>0</v>
      </c>
      <c r="R17" s="226" t="b">
        <v>0</v>
      </c>
      <c r="S17" s="227">
        <f t="shared" ref="S17:S24" si="8">IF((Q17=TRUE),1,0)</f>
        <v>0</v>
      </c>
      <c r="T17" s="228"/>
      <c r="U17" s="227"/>
      <c r="V17" s="226" t="str">
        <f>IF((W17=6),"B2","")</f>
        <v/>
      </c>
      <c r="W17" s="227">
        <f t="shared" ref="W17:W24" si="9">IF((Q17),6,0)</f>
        <v>0</v>
      </c>
      <c r="X17" s="229" t="str">
        <f>IF(W17=0,"",IF(W17=7,3,4))</f>
        <v/>
      </c>
      <c r="Y17" s="285" t="str">
        <f>IF(AND(W17=0),"",IF(W17=6,4,""))</f>
        <v/>
      </c>
    </row>
    <row r="18" spans="1:25" ht="16.5" customHeight="1" thickBot="1" x14ac:dyDescent="0.3">
      <c r="A18" s="389"/>
      <c r="B18" s="416"/>
      <c r="C18" s="342"/>
      <c r="D18" s="324" t="s">
        <v>160</v>
      </c>
      <c r="E18" s="324"/>
      <c r="F18" s="70" t="str">
        <f t="shared" si="4"/>
        <v/>
      </c>
      <c r="G18" s="70" t="str">
        <f t="shared" si="5"/>
        <v/>
      </c>
      <c r="H18" s="70" t="str">
        <f t="shared" si="6"/>
        <v/>
      </c>
      <c r="I18" s="308" t="s">
        <v>24</v>
      </c>
      <c r="J18" s="306"/>
      <c r="K18" s="48"/>
      <c r="L18" s="392" t="str">
        <f>IF((S18)=0,"Tiems, kurie jau mokėsi (B1 lygis)",IF(S18=1,""))</f>
        <v>Tiems, kurie jau mokėsi (B1 lygis)</v>
      </c>
      <c r="M18" s="392"/>
      <c r="N18" s="392"/>
      <c r="O18" s="270"/>
      <c r="P18" s="274" t="str">
        <f t="shared" si="7"/>
        <v>Užsienio kalba (vokiečių) (B1)</v>
      </c>
      <c r="Q18" s="226" t="b">
        <v>0</v>
      </c>
      <c r="R18" s="226" t="b">
        <v>0</v>
      </c>
      <c r="S18" s="227">
        <f t="shared" si="8"/>
        <v>0</v>
      </c>
      <c r="T18" s="228"/>
      <c r="U18" s="227"/>
      <c r="V18" s="226" t="str">
        <f>IF((W18=6),"B1","")</f>
        <v/>
      </c>
      <c r="W18" s="285">
        <f t="shared" si="9"/>
        <v>0</v>
      </c>
      <c r="X18" s="206" t="str">
        <f t="shared" ref="X18:X24" si="10">IF(W18=0,"",IF(W18=7,3,3))</f>
        <v/>
      </c>
      <c r="Y18" s="108" t="str">
        <f t="shared" ref="Y18:Y24" si="11">IF(AND(W18=0),"",IF(W18=6,3,""))</f>
        <v/>
      </c>
    </row>
    <row r="19" spans="1:25" ht="16.5" customHeight="1" thickBot="1" x14ac:dyDescent="0.3">
      <c r="A19" s="389"/>
      <c r="B19" s="416"/>
      <c r="C19" s="342"/>
      <c r="D19" s="324" t="s">
        <v>161</v>
      </c>
      <c r="E19" s="324"/>
      <c r="F19" s="70" t="str">
        <f t="shared" si="4"/>
        <v/>
      </c>
      <c r="G19" s="70" t="str">
        <f t="shared" si="5"/>
        <v/>
      </c>
      <c r="H19" s="70" t="str">
        <f t="shared" si="6"/>
        <v/>
      </c>
      <c r="I19" s="308" t="s">
        <v>24</v>
      </c>
      <c r="J19" s="306"/>
      <c r="K19" s="48"/>
      <c r="L19" s="392" t="str">
        <f>IF((S19)=0,"Pradedantiesiems (A1 lygis)",IF(S19=1,""))</f>
        <v>Pradedantiesiems (A1 lygis)</v>
      </c>
      <c r="M19" s="392"/>
      <c r="N19" s="392"/>
      <c r="O19" s="270"/>
      <c r="P19" s="274" t="str">
        <f t="shared" si="7"/>
        <v>Užsienio kalba (vokiečių) (A1)</v>
      </c>
      <c r="Q19" s="226" t="b">
        <v>0</v>
      </c>
      <c r="R19" s="226" t="b">
        <v>0</v>
      </c>
      <c r="S19" s="227">
        <f t="shared" si="8"/>
        <v>0</v>
      </c>
      <c r="T19" s="228"/>
      <c r="U19" s="227"/>
      <c r="V19" s="226" t="str">
        <f>IF((W19=6),"A1","")</f>
        <v/>
      </c>
      <c r="W19" s="285">
        <f>IF((Q19),6,0)</f>
        <v>0</v>
      </c>
      <c r="X19" s="206" t="str">
        <f t="shared" si="10"/>
        <v/>
      </c>
      <c r="Y19" s="108" t="str">
        <f t="shared" si="11"/>
        <v/>
      </c>
    </row>
    <row r="20" spans="1:25" ht="16.5" customHeight="1" thickBot="1" x14ac:dyDescent="0.3">
      <c r="A20" s="389"/>
      <c r="B20" s="416"/>
      <c r="C20" s="342"/>
      <c r="D20" s="324" t="s">
        <v>167</v>
      </c>
      <c r="E20" s="324"/>
      <c r="F20" s="70" t="str">
        <f>V20</f>
        <v/>
      </c>
      <c r="G20" s="70" t="str">
        <f>X20</f>
        <v/>
      </c>
      <c r="H20" s="70" t="str">
        <f>Y20</f>
        <v/>
      </c>
      <c r="I20" s="308" t="s">
        <v>24</v>
      </c>
      <c r="J20" s="306"/>
      <c r="K20" s="48"/>
      <c r="L20" s="321" t="str">
        <f>IF((S20)=0,"Tiems, kurie jau mokėsi (B1 lygis)",IF(S20=1,""))</f>
        <v>Tiems, kurie jau mokėsi (B1 lygis)</v>
      </c>
      <c r="M20" s="322"/>
      <c r="N20" s="323"/>
      <c r="O20" s="270"/>
      <c r="P20" s="274" t="str">
        <f>D20</f>
        <v>Užsienio kalba (prancūzų) (B1)</v>
      </c>
      <c r="Q20" s="226" t="b">
        <v>0</v>
      </c>
      <c r="R20" s="226" t="b">
        <v>0</v>
      </c>
      <c r="S20" s="227">
        <f>IF((Q20=TRUE),1,0)</f>
        <v>0</v>
      </c>
      <c r="T20" s="228"/>
      <c r="U20" s="227"/>
      <c r="V20" s="226" t="str">
        <f>IF((W20=6),"A1","")</f>
        <v/>
      </c>
      <c r="W20" s="285">
        <f>IF((Q20),6,0)</f>
        <v>0</v>
      </c>
      <c r="X20" s="206" t="str">
        <f t="shared" si="10"/>
        <v/>
      </c>
      <c r="Y20" s="108" t="str">
        <f t="shared" si="11"/>
        <v/>
      </c>
    </row>
    <row r="21" spans="1:25" ht="16.5" customHeight="1" thickBot="1" x14ac:dyDescent="0.3">
      <c r="A21" s="389"/>
      <c r="B21" s="416"/>
      <c r="C21" s="342"/>
      <c r="D21" s="324" t="s">
        <v>166</v>
      </c>
      <c r="E21" s="324"/>
      <c r="F21" s="70" t="str">
        <f>V21</f>
        <v/>
      </c>
      <c r="G21" s="70" t="str">
        <f>X21</f>
        <v/>
      </c>
      <c r="H21" s="70" t="str">
        <f>Y21</f>
        <v/>
      </c>
      <c r="I21" s="308" t="s">
        <v>24</v>
      </c>
      <c r="J21" s="306"/>
      <c r="K21" s="48"/>
      <c r="L21" s="321" t="str">
        <f>IF((S21)=0,"Pradedantiesiems (A1 lygis)",IF(S21=1,""))</f>
        <v>Pradedantiesiems (A1 lygis)</v>
      </c>
      <c r="M21" s="322"/>
      <c r="N21" s="323"/>
      <c r="O21" s="270"/>
      <c r="P21" s="274" t="str">
        <f>D21</f>
        <v>Užsienio kalba (prancūzų) (A1)</v>
      </c>
      <c r="Q21" s="226" t="b">
        <v>0</v>
      </c>
      <c r="R21" s="226" t="b">
        <v>0</v>
      </c>
      <c r="S21" s="227">
        <f>IF((Q21=TRUE),1,0)</f>
        <v>0</v>
      </c>
      <c r="T21" s="228"/>
      <c r="U21" s="227"/>
      <c r="V21" s="226" t="str">
        <f>IF((W21=6),"A1","")</f>
        <v/>
      </c>
      <c r="W21" s="285">
        <f>IF((Q21),6,0)</f>
        <v>0</v>
      </c>
      <c r="X21" s="206" t="str">
        <f t="shared" si="10"/>
        <v/>
      </c>
      <c r="Y21" s="108" t="str">
        <f t="shared" si="11"/>
        <v/>
      </c>
    </row>
    <row r="22" spans="1:25" ht="16.5" customHeight="1" thickBot="1" x14ac:dyDescent="0.3">
      <c r="A22" s="389"/>
      <c r="B22" s="416"/>
      <c r="C22" s="342"/>
      <c r="D22" s="324" t="s">
        <v>162</v>
      </c>
      <c r="E22" s="324"/>
      <c r="F22" s="70" t="str">
        <f t="shared" si="4"/>
        <v/>
      </c>
      <c r="G22" s="70" t="str">
        <f t="shared" si="5"/>
        <v/>
      </c>
      <c r="H22" s="70" t="str">
        <f t="shared" si="6"/>
        <v/>
      </c>
      <c r="I22" s="308" t="s">
        <v>24</v>
      </c>
      <c r="J22" s="306"/>
      <c r="K22" s="48"/>
      <c r="L22" s="392" t="str">
        <f>IF((S22)=0,"Tiems, kurie jau mokėsi (B1 lygis)",IF(S22=1,""))</f>
        <v>Tiems, kurie jau mokėsi (B1 lygis)</v>
      </c>
      <c r="M22" s="392"/>
      <c r="N22" s="392"/>
      <c r="O22" s="270"/>
      <c r="P22" s="274" t="str">
        <f t="shared" si="7"/>
        <v>Užsienio kalba (Rusų) (B1)</v>
      </c>
      <c r="Q22" s="226" t="b">
        <v>0</v>
      </c>
      <c r="R22" s="226" t="b">
        <v>0</v>
      </c>
      <c r="S22" s="227">
        <f t="shared" si="8"/>
        <v>0</v>
      </c>
      <c r="T22" s="228"/>
      <c r="U22" s="227"/>
      <c r="V22" s="226" t="str">
        <f>IF((W22=6),"B1","")</f>
        <v/>
      </c>
      <c r="W22" s="285">
        <f t="shared" si="9"/>
        <v>0</v>
      </c>
      <c r="X22" s="206" t="str">
        <f t="shared" si="10"/>
        <v/>
      </c>
      <c r="Y22" s="108" t="str">
        <f t="shared" si="11"/>
        <v/>
      </c>
    </row>
    <row r="23" spans="1:25" ht="16.5" customHeight="1" thickBot="1" x14ac:dyDescent="0.3">
      <c r="A23" s="389"/>
      <c r="B23" s="416"/>
      <c r="C23" s="342"/>
      <c r="D23" s="324" t="s">
        <v>163</v>
      </c>
      <c r="E23" s="324"/>
      <c r="F23" s="70" t="str">
        <f>V23</f>
        <v/>
      </c>
      <c r="G23" s="70" t="str">
        <f>X23</f>
        <v/>
      </c>
      <c r="H23" s="70" t="str">
        <f>Y23</f>
        <v/>
      </c>
      <c r="I23" s="308" t="s">
        <v>24</v>
      </c>
      <c r="J23" s="306"/>
      <c r="K23" s="48"/>
      <c r="L23" s="392" t="str">
        <f>IF((S23)=0,"Pradedantiesiems (A1 lygis)",IF(S23=1,""))</f>
        <v>Pradedantiesiems (A1 lygis)</v>
      </c>
      <c r="M23" s="392"/>
      <c r="N23" s="392"/>
      <c r="O23" s="270"/>
      <c r="P23" s="274" t="str">
        <f>D23</f>
        <v>Užsienio kalba (rusų) (A1)</v>
      </c>
      <c r="Q23" s="226" t="b">
        <v>0</v>
      </c>
      <c r="R23" s="226" t="b">
        <v>0</v>
      </c>
      <c r="S23" s="227">
        <f t="shared" si="8"/>
        <v>0</v>
      </c>
      <c r="T23" s="228"/>
      <c r="U23" s="227"/>
      <c r="V23" s="226" t="str">
        <f>IF((W23=6),"A1","")</f>
        <v/>
      </c>
      <c r="W23" s="285">
        <f t="shared" si="9"/>
        <v>0</v>
      </c>
      <c r="X23" s="206" t="str">
        <f t="shared" si="10"/>
        <v/>
      </c>
      <c r="Y23" s="108" t="str">
        <f t="shared" si="11"/>
        <v/>
      </c>
    </row>
    <row r="24" spans="1:25" ht="16.5" customHeight="1" thickBot="1" x14ac:dyDescent="0.3">
      <c r="A24" s="389"/>
      <c r="B24" s="417"/>
      <c r="C24" s="343"/>
      <c r="D24" s="324" t="s">
        <v>165</v>
      </c>
      <c r="E24" s="324"/>
      <c r="F24" s="70" t="str">
        <f t="shared" si="0"/>
        <v/>
      </c>
      <c r="G24" s="70" t="str">
        <f t="shared" si="1"/>
        <v/>
      </c>
      <c r="H24" s="70" t="str">
        <f t="shared" si="2"/>
        <v/>
      </c>
      <c r="I24" s="308" t="s">
        <v>24</v>
      </c>
      <c r="J24" s="306"/>
      <c r="K24" s="48"/>
      <c r="L24" s="392" t="str">
        <f>IF((S24)=0,"Pradedantiesiems (A1 lygis)",IF(S24=1,""))</f>
        <v>Pradedantiesiems (A1 lygis)</v>
      </c>
      <c r="M24" s="392"/>
      <c r="N24" s="392"/>
      <c r="O24" s="270"/>
      <c r="P24" s="274" t="str">
        <f t="shared" si="3"/>
        <v>Užsienio kalba (Italų) (A1)</v>
      </c>
      <c r="Q24" s="226" t="b">
        <v>0</v>
      </c>
      <c r="R24" s="226" t="b">
        <v>0</v>
      </c>
      <c r="S24" s="227">
        <f t="shared" si="8"/>
        <v>0</v>
      </c>
      <c r="T24" s="228"/>
      <c r="U24" s="227"/>
      <c r="V24" s="226" t="str">
        <f>IF((W24=6),"A1","")</f>
        <v/>
      </c>
      <c r="W24" s="285">
        <f t="shared" si="9"/>
        <v>0</v>
      </c>
      <c r="X24" s="206" t="str">
        <f t="shared" si="10"/>
        <v/>
      </c>
      <c r="Y24" s="108" t="str">
        <f t="shared" si="11"/>
        <v/>
      </c>
    </row>
    <row r="25" spans="1:25" ht="15.75" customHeight="1" x14ac:dyDescent="0.25">
      <c r="A25" s="389"/>
      <c r="B25" s="359">
        <v>5</v>
      </c>
      <c r="C25" s="403" t="s">
        <v>29</v>
      </c>
      <c r="D25" s="412" t="s">
        <v>30</v>
      </c>
      <c r="E25" s="413"/>
      <c r="F25" s="45" t="str">
        <f t="shared" si="0"/>
        <v/>
      </c>
      <c r="G25" s="45" t="str">
        <f t="shared" si="1"/>
        <v/>
      </c>
      <c r="H25" s="45" t="str">
        <f t="shared" si="2"/>
        <v/>
      </c>
      <c r="I25" s="1"/>
      <c r="J25" s="71"/>
      <c r="K25" s="63"/>
      <c r="L25" s="392" t="str">
        <f>IF(SUM(U25:U26)=0,"Privaloma pasirinkti bent vieną socialinio ugdymo dalyką(A arba B kursai)",IF(OR(U25=2,U26=2),"Galima rinktis tik A arba B kursą",""))</f>
        <v>Privaloma pasirinkti bent vieną socialinio ugdymo dalyką(A arba B kursai)</v>
      </c>
      <c r="M25" s="392"/>
      <c r="N25" s="392"/>
      <c r="O25" s="268"/>
      <c r="P25" s="275" t="str">
        <f t="shared" si="3"/>
        <v>Istorija</v>
      </c>
      <c r="Q25" s="49" t="b">
        <v>0</v>
      </c>
      <c r="R25" s="72" t="b">
        <v>0</v>
      </c>
      <c r="S25" s="51">
        <f t="shared" ref="S25:S31" si="12">IF((Q25+R25)*NOT(Q25*R25),1,0)</f>
        <v>0</v>
      </c>
      <c r="T25" s="51">
        <f>IF($S$25+$S$26&gt;0,1,0)</f>
        <v>0</v>
      </c>
      <c r="U25" s="51">
        <f>IF((Q25=R25)*(Q25=TRUE)*(R25=TRUE),2,IF((Q25=R25),0,1))</f>
        <v>0</v>
      </c>
      <c r="V25" s="51" t="str">
        <f>IF(W25=4,"B",IF(W25=6,"A",""))</f>
        <v/>
      </c>
      <c r="W25" s="53">
        <f>IF((Q25=TRUE)*(R25=FALSE)*(T25=1),4,IF((Q25=FALSE)*(R25=TRUE)*(T25=1),6,0))</f>
        <v>0</v>
      </c>
      <c r="X25" s="310" t="str">
        <f>IF(W25=0,"",IF(W25=4,2,4))</f>
        <v/>
      </c>
      <c r="Y25" s="282" t="str">
        <f>IF(W25=0,"",IF(W25=4,2,3))</f>
        <v/>
      </c>
    </row>
    <row r="26" spans="1:25" ht="16.5" customHeight="1" thickBot="1" x14ac:dyDescent="0.3">
      <c r="A26" s="389"/>
      <c r="B26" s="359"/>
      <c r="C26" s="403"/>
      <c r="D26" s="340" t="s">
        <v>31</v>
      </c>
      <c r="E26" s="340"/>
      <c r="F26" s="73" t="str">
        <f t="shared" si="0"/>
        <v/>
      </c>
      <c r="G26" s="73" t="str">
        <f t="shared" si="1"/>
        <v/>
      </c>
      <c r="H26" s="73" t="str">
        <f t="shared" si="2"/>
        <v/>
      </c>
      <c r="I26" s="74"/>
      <c r="J26" s="75"/>
      <c r="K26" s="63"/>
      <c r="L26" s="392"/>
      <c r="M26" s="392"/>
      <c r="N26" s="392"/>
      <c r="O26" s="268"/>
      <c r="P26" s="276" t="str">
        <f t="shared" si="3"/>
        <v>Geografija</v>
      </c>
      <c r="Q26" s="76" t="b">
        <v>0</v>
      </c>
      <c r="R26" s="77" t="b">
        <v>0</v>
      </c>
      <c r="S26" s="78">
        <f t="shared" si="12"/>
        <v>0</v>
      </c>
      <c r="T26" s="79">
        <f>IF($S$25+$S$26&gt;0,1,0)</f>
        <v>0</v>
      </c>
      <c r="U26" s="79">
        <f>IF((Q26=R26)*(Q26=TRUE)*(R26=TRUE),2,IF((Q26=R26),0,1))</f>
        <v>0</v>
      </c>
      <c r="V26" s="79" t="str">
        <f>IF(W26=4,"B",IF(W26=6,"A",""))</f>
        <v/>
      </c>
      <c r="W26" s="80">
        <f>IF((Q26=TRUE)*(R26=FALSE)*(T26=1),4,IF((Q26=FALSE)*(R26=TRUE)*(T26=1),6,0))</f>
        <v>0</v>
      </c>
      <c r="X26" s="79" t="str">
        <f>IF(W26=0,"",IF(W26=4,2,4))</f>
        <v/>
      </c>
      <c r="Y26" s="286" t="str">
        <f>IF(W26=0,"",IF(W26=4,2,3))</f>
        <v/>
      </c>
    </row>
    <row r="27" spans="1:25" ht="15.75" customHeight="1" x14ac:dyDescent="0.25">
      <c r="A27" s="389"/>
      <c r="B27" s="359">
        <v>6</v>
      </c>
      <c r="C27" s="396" t="s">
        <v>36</v>
      </c>
      <c r="D27" s="391" t="s">
        <v>37</v>
      </c>
      <c r="E27" s="391"/>
      <c r="F27" s="45" t="str">
        <f t="shared" si="0"/>
        <v/>
      </c>
      <c r="G27" s="45" t="str">
        <f t="shared" si="1"/>
        <v/>
      </c>
      <c r="H27" s="45" t="str">
        <f t="shared" si="2"/>
        <v/>
      </c>
      <c r="I27" s="46"/>
      <c r="J27" s="71"/>
      <c r="K27" s="63"/>
      <c r="L27" s="392" t="str">
        <f>IF(SUM(U27:U29)=0,"Privaloma pasirinkti bent vieną gamtamokslinio ugdymo dalyką (A arba B kursai)",IF(OR(U27=2,U28=2,U29=2),"Galima rinktis tik A arba B kursą",""))</f>
        <v>Privaloma pasirinkti bent vieną gamtamokslinio ugdymo dalyką (A arba B kursai)</v>
      </c>
      <c r="M27" s="392"/>
      <c r="N27" s="392"/>
      <c r="O27" s="268"/>
      <c r="P27" s="271" t="str">
        <f t="shared" si="3"/>
        <v>Biologija</v>
      </c>
      <c r="Q27" s="49" t="b">
        <v>0</v>
      </c>
      <c r="R27" s="72" t="b">
        <v>0</v>
      </c>
      <c r="S27" s="51">
        <f t="shared" si="12"/>
        <v>0</v>
      </c>
      <c r="T27" s="51">
        <f>IF(((S27=1)+(S28=1)+(S29=1))*((U27=1)+(U27=0))*((U28=1)+(U28=0))*((U28=1)+(U28=0)),1,0)</f>
        <v>0</v>
      </c>
      <c r="U27" s="51">
        <f>IF((Q27=R27)*(Q27=TRUE)*(R27=TRUE),2,IF((Q27=R27),0,1))</f>
        <v>0</v>
      </c>
      <c r="V27" s="51" t="str">
        <f>IF(W27=4,"B",IF(W27=6,"A",""))</f>
        <v/>
      </c>
      <c r="W27" s="51">
        <f>IF((Q27=TRUE)*(R27=FALSE),4,IF((Q27=FALSE)*(R27=TRUE),6,0))</f>
        <v>0</v>
      </c>
      <c r="X27" s="51" t="str">
        <f>IF(W27=0,"",IF(W27=4,2,4))</f>
        <v/>
      </c>
      <c r="Y27" s="282" t="str">
        <f>IF(W27=0,"",IF(W27=4,2,3))</f>
        <v/>
      </c>
    </row>
    <row r="28" spans="1:25" ht="15.75" customHeight="1" x14ac:dyDescent="0.25">
      <c r="A28" s="389"/>
      <c r="B28" s="359"/>
      <c r="C28" s="396"/>
      <c r="D28" s="393" t="s">
        <v>38</v>
      </c>
      <c r="E28" s="393"/>
      <c r="F28" s="85" t="str">
        <f t="shared" si="0"/>
        <v/>
      </c>
      <c r="G28" s="85" t="str">
        <f t="shared" si="1"/>
        <v/>
      </c>
      <c r="H28" s="85" t="str">
        <f t="shared" si="2"/>
        <v/>
      </c>
      <c r="I28" s="92"/>
      <c r="J28" s="93"/>
      <c r="K28" s="63"/>
      <c r="L28" s="392"/>
      <c r="M28" s="392"/>
      <c r="N28" s="392"/>
      <c r="O28" s="268"/>
      <c r="P28" s="112" t="str">
        <f t="shared" si="3"/>
        <v>Chemija</v>
      </c>
      <c r="Q28" s="94" t="b">
        <v>0</v>
      </c>
      <c r="R28" s="95" t="b">
        <v>0</v>
      </c>
      <c r="S28" s="59">
        <f t="shared" si="12"/>
        <v>0</v>
      </c>
      <c r="T28" s="59">
        <f>IF(((S27=1)+(S28=1)+(S29=1))*((U27=1)+(U27=0))*((U28=1)+(U28=0))*((U28=1)+(U28=0)),1,0)</f>
        <v>0</v>
      </c>
      <c r="U28" s="59">
        <f>IF((Q28=R28)*(Q28=TRUE)*(R28=TRUE),2,IF((Q28=R28),0,1))</f>
        <v>0</v>
      </c>
      <c r="V28" s="59" t="str">
        <f>IF(W28=4,"B",IF(W28=7,"A",""))</f>
        <v/>
      </c>
      <c r="W28" s="59">
        <f>IF((Q28=TRUE)*(R28=FALSE),4,IF((Q28=FALSE)*(R28=TRUE),7,0))</f>
        <v>0</v>
      </c>
      <c r="X28" s="59" t="str">
        <f>IF(W28=0,"",IF(W28=4,2,4))</f>
        <v/>
      </c>
      <c r="Y28" s="287" t="str">
        <f>IF(W28=0,"",IF(W28=4,2,3))</f>
        <v/>
      </c>
    </row>
    <row r="29" spans="1:25" ht="16.5" customHeight="1" thickBot="1" x14ac:dyDescent="0.3">
      <c r="A29" s="389"/>
      <c r="B29" s="359"/>
      <c r="C29" s="397"/>
      <c r="D29" s="394" t="s">
        <v>39</v>
      </c>
      <c r="E29" s="394"/>
      <c r="F29" s="88" t="str">
        <f t="shared" si="0"/>
        <v/>
      </c>
      <c r="G29" s="88" t="str">
        <f t="shared" si="1"/>
        <v/>
      </c>
      <c r="H29" s="88" t="str">
        <f t="shared" si="2"/>
        <v/>
      </c>
      <c r="I29" s="197"/>
      <c r="J29" s="89"/>
      <c r="K29" s="63"/>
      <c r="L29" s="392"/>
      <c r="M29" s="392"/>
      <c r="N29" s="392"/>
      <c r="O29" s="268"/>
      <c r="P29" s="276" t="str">
        <f t="shared" si="3"/>
        <v>Fizika</v>
      </c>
      <c r="Q29" s="76" t="b">
        <v>0</v>
      </c>
      <c r="R29" s="96" t="b">
        <v>0</v>
      </c>
      <c r="S29" s="90">
        <f t="shared" si="12"/>
        <v>0</v>
      </c>
      <c r="T29" s="90">
        <f>IF(((S27=1)+(S28=1)+(S29=1))*((U27=1)+(U27=0))*((U28=1)+(U28=0))*((U28=1)+(U28=0)),1,0)</f>
        <v>0</v>
      </c>
      <c r="U29" s="90">
        <f>IF((Q29=R29)*(Q29=TRUE)*(R29=TRUE),2,IF((Q29=R29),0,1))</f>
        <v>0</v>
      </c>
      <c r="V29" s="90" t="str">
        <f>IF(W29=4,"B",IF(W29=7,"A",""))</f>
        <v/>
      </c>
      <c r="W29" s="90">
        <f>IF((Q29=TRUE)*(R29=FALSE),4,IF((Q29=FALSE)*(R29=TRUE),7,0))</f>
        <v>0</v>
      </c>
      <c r="X29" s="90" t="str">
        <f>IF(W29=0,"",IF(W29=4,2,4))</f>
        <v/>
      </c>
      <c r="Y29" s="288" t="str">
        <f>IF(W29=0,"",IF(W29=4,2,4))</f>
        <v/>
      </c>
    </row>
    <row r="30" spans="1:25" ht="15.75" customHeight="1" thickBot="1" x14ac:dyDescent="0.3">
      <c r="A30" s="389"/>
      <c r="B30" s="325">
        <v>7</v>
      </c>
      <c r="C30" s="341" t="s">
        <v>139</v>
      </c>
      <c r="D30" s="395" t="s">
        <v>40</v>
      </c>
      <c r="E30" s="395" t="b">
        <f>FALSE</f>
        <v>0</v>
      </c>
      <c r="F30" s="198" t="str">
        <f t="shared" si="0"/>
        <v/>
      </c>
      <c r="G30" s="198" t="str">
        <f t="shared" si="1"/>
        <v/>
      </c>
      <c r="H30" s="198" t="str">
        <f t="shared" si="2"/>
        <v/>
      </c>
      <c r="I30" s="199"/>
      <c r="J30" s="200"/>
      <c r="K30" s="210"/>
      <c r="L30" s="347" t="str">
        <f>IF(SUM(U30:U36)=0,"Privaloma pasirinkti bent vieną menų arba technologijų dalyką",IF(OR(U30=2,U31=2,U33=2),"Galima rinktis tik A arba B kursą",IF(SUM(S30:S36)&gt;2,"Galima pasirinkti vieną arba du dalykus","")))</f>
        <v>Privaloma pasirinkti bent vieną menų arba technologijų dalyką</v>
      </c>
      <c r="M30" s="348"/>
      <c r="N30" s="349"/>
      <c r="O30" s="268"/>
      <c r="P30" s="109" t="str">
        <f t="shared" si="3"/>
        <v>Dailė</v>
      </c>
      <c r="Q30" s="97" t="b">
        <v>0</v>
      </c>
      <c r="R30" s="97" t="b">
        <v>0</v>
      </c>
      <c r="S30" s="84">
        <f t="shared" si="12"/>
        <v>0</v>
      </c>
      <c r="T30" s="202">
        <f>IF((SUM($S$30)=1),1,0)</f>
        <v>0</v>
      </c>
      <c r="U30" s="84">
        <f t="shared" ref="U30:U36" si="13">IF((Q30=R30)*(Q30),2,IF((Q30=R30),0,1))</f>
        <v>0</v>
      </c>
      <c r="V30" s="84" t="str">
        <f>IF(W30=0,"",IF(Q30,"B","A"))</f>
        <v/>
      </c>
      <c r="W30" s="84">
        <f>IF(((Q30&lt;&gt;R30)=TRUE)*(T30=1),IF((Q30=TRUE)*(R30=FALSE),4,IF((Q30=FALSE)*(R30=TRUE),6,0)),0)</f>
        <v>0</v>
      </c>
      <c r="X30" s="84" t="str">
        <f>IF(W30=0,"",IF(W30=4,2,3))</f>
        <v/>
      </c>
      <c r="Y30" s="289" t="str">
        <f>IF(W30=0,"",IF(W30=4,2,3))</f>
        <v/>
      </c>
    </row>
    <row r="31" spans="1:25" ht="15.75" customHeight="1" thickBot="1" x14ac:dyDescent="0.3">
      <c r="A31" s="389"/>
      <c r="B31" s="326"/>
      <c r="C31" s="342"/>
      <c r="D31" s="340" t="s">
        <v>41</v>
      </c>
      <c r="E31" s="340"/>
      <c r="F31" s="54" t="str">
        <f t="shared" si="0"/>
        <v/>
      </c>
      <c r="G31" s="54" t="str">
        <f t="shared" si="1"/>
        <v/>
      </c>
      <c r="H31" s="54" t="str">
        <f t="shared" si="2"/>
        <v/>
      </c>
      <c r="I31" s="55"/>
      <c r="J31" s="309" t="s">
        <v>24</v>
      </c>
      <c r="K31" s="210"/>
      <c r="L31" s="350"/>
      <c r="M31" s="351"/>
      <c r="N31" s="352"/>
      <c r="O31" s="268"/>
      <c r="P31" s="112" t="str">
        <f t="shared" si="3"/>
        <v>Grafinis dizainas</v>
      </c>
      <c r="Q31" s="97" t="b">
        <v>0</v>
      </c>
      <c r="R31" s="97" t="b">
        <v>0</v>
      </c>
      <c r="S31" s="84">
        <f t="shared" si="12"/>
        <v>0</v>
      </c>
      <c r="T31" s="202">
        <f>IF((SUM($S$31)=1),1,0)</f>
        <v>0</v>
      </c>
      <c r="U31" s="98">
        <f t="shared" si="13"/>
        <v>0</v>
      </c>
      <c r="V31" s="84" t="str">
        <f>IF(W31=0,"",IF(Q31,"B","A"))</f>
        <v/>
      </c>
      <c r="W31" s="84">
        <f>IF(((Q31&lt;&gt;R31)=TRUE)*(T31=1),IF((Q31=TRUE)*(R31=FALSE),4,IF((Q31=FALSE)*(R31=TRUE),6,0)),0)</f>
        <v>0</v>
      </c>
      <c r="X31" s="84" t="str">
        <f>IF(W31=0,"",IF(W31=4,2,3))</f>
        <v/>
      </c>
      <c r="Y31" s="181" t="str">
        <f>IF(W31=0,"",IF(W31=4,2,3))</f>
        <v/>
      </c>
    </row>
    <row r="32" spans="1:25" ht="15.75" customHeight="1" thickBot="1" x14ac:dyDescent="0.3">
      <c r="A32" s="389"/>
      <c r="B32" s="326"/>
      <c r="C32" s="342"/>
      <c r="D32" s="340" t="s">
        <v>42</v>
      </c>
      <c r="E32" s="340"/>
      <c r="F32" s="54" t="str">
        <f>V32</f>
        <v/>
      </c>
      <c r="G32" s="54" t="str">
        <f>X32</f>
        <v/>
      </c>
      <c r="H32" s="54" t="str">
        <f>Y32</f>
        <v/>
      </c>
      <c r="I32" s="55"/>
      <c r="J32" s="309" t="s">
        <v>24</v>
      </c>
      <c r="K32" s="210"/>
      <c r="L32" s="350"/>
      <c r="M32" s="351"/>
      <c r="N32" s="352"/>
      <c r="O32" s="305"/>
      <c r="P32" s="112" t="str">
        <f>D32</f>
        <v>Muzika</v>
      </c>
      <c r="Q32" s="97" t="b">
        <v>0</v>
      </c>
      <c r="R32" s="97" t="b">
        <v>0</v>
      </c>
      <c r="S32" s="84">
        <f>IF((Q32+R32)*NOT(Q32*R32),1,0)</f>
        <v>0</v>
      </c>
      <c r="T32" s="202">
        <f>IF((SUM($S$32)=1),1,0)</f>
        <v>0</v>
      </c>
      <c r="U32" s="98">
        <f t="shared" si="13"/>
        <v>0</v>
      </c>
      <c r="V32" s="84" t="str">
        <f>IF(W32=0,"",IF(Q32,"B","A"))</f>
        <v/>
      </c>
      <c r="W32" s="84">
        <f>IF(((Q32&lt;&gt;R32)=TRUE)*(T32=1),IF((Q32=TRUE)*(R32=FALSE),4,IF((Q32=FALSE)*(R32=TRUE),6,0)),0)</f>
        <v>0</v>
      </c>
      <c r="X32" s="84" t="str">
        <f>IF(W32=0,"",IF(W32=4,2,3))</f>
        <v/>
      </c>
      <c r="Y32" s="181" t="str">
        <f>IF(W32=0,"",IF(W32=4,2,3))</f>
        <v/>
      </c>
    </row>
    <row r="33" spans="1:25" ht="15.75" customHeight="1" thickBot="1" x14ac:dyDescent="0.3">
      <c r="A33" s="389"/>
      <c r="B33" s="326"/>
      <c r="C33" s="342"/>
      <c r="D33" s="331" t="s">
        <v>43</v>
      </c>
      <c r="E33" s="331"/>
      <c r="F33" s="238" t="str">
        <f t="shared" si="0"/>
        <v/>
      </c>
      <c r="G33" s="238" t="str">
        <f t="shared" si="1"/>
        <v/>
      </c>
      <c r="H33" s="238" t="str">
        <f t="shared" si="2"/>
        <v/>
      </c>
      <c r="I33" s="240"/>
      <c r="J33" s="242" t="s">
        <v>24</v>
      </c>
      <c r="K33" s="210"/>
      <c r="L33" s="350"/>
      <c r="M33" s="351"/>
      <c r="N33" s="352"/>
      <c r="O33" s="268"/>
      <c r="P33" s="277" t="str">
        <f t="shared" si="3"/>
        <v>Teatras</v>
      </c>
      <c r="Q33" s="201" t="b">
        <v>0</v>
      </c>
      <c r="R33" s="187"/>
      <c r="S33" s="188">
        <f>IF(Q33,1,0)</f>
        <v>0</v>
      </c>
      <c r="T33" s="202">
        <f>IF((SUM($S$33)=1),1,0)</f>
        <v>0</v>
      </c>
      <c r="U33" s="84">
        <f t="shared" si="13"/>
        <v>0</v>
      </c>
      <c r="V33" s="188" t="str">
        <f>IF(W33=4,"B","")</f>
        <v/>
      </c>
      <c r="W33" s="188">
        <f>IF((Q33)*(T33=1),4,0)</f>
        <v>0</v>
      </c>
      <c r="X33" s="188" t="str">
        <f>IF(W33=4,2,"")</f>
        <v/>
      </c>
      <c r="Y33" s="290" t="str">
        <f>IF(W33=4,2,"")</f>
        <v/>
      </c>
    </row>
    <row r="34" spans="1:25" ht="15.75" customHeight="1" thickBot="1" x14ac:dyDescent="0.3">
      <c r="A34" s="389"/>
      <c r="B34" s="326"/>
      <c r="C34" s="342"/>
      <c r="D34" s="340" t="s">
        <v>143</v>
      </c>
      <c r="E34" s="340"/>
      <c r="F34" s="239" t="str">
        <f t="shared" si="0"/>
        <v/>
      </c>
      <c r="G34" s="239" t="str">
        <f t="shared" si="1"/>
        <v/>
      </c>
      <c r="H34" s="239" t="str">
        <f t="shared" si="2"/>
        <v/>
      </c>
      <c r="I34" s="241"/>
      <c r="J34" s="243" t="s">
        <v>24</v>
      </c>
      <c r="K34" s="211"/>
      <c r="L34" s="350"/>
      <c r="M34" s="351"/>
      <c r="N34" s="352"/>
      <c r="O34" s="268"/>
      <c r="P34" s="109" t="str">
        <f t="shared" si="3"/>
        <v>Technologijos (turizmas ir mityba)</v>
      </c>
      <c r="Q34" s="110" t="b">
        <v>0</v>
      </c>
      <c r="R34" s="110"/>
      <c r="S34" s="84">
        <f>IF(Q34,1,0)</f>
        <v>0</v>
      </c>
      <c r="T34" s="202">
        <f>IF((SUM($S$34)=1),1,0)</f>
        <v>0</v>
      </c>
      <c r="U34" s="84">
        <f t="shared" si="13"/>
        <v>0</v>
      </c>
      <c r="V34" s="84" t="str">
        <f>IF(W34=4,"B","")</f>
        <v/>
      </c>
      <c r="W34" s="84">
        <f>IF((Q34)*(T34=1),4,0)</f>
        <v>0</v>
      </c>
      <c r="X34" s="84" t="str">
        <f>IF(W34=4,2,"")</f>
        <v/>
      </c>
      <c r="Y34" s="181" t="str">
        <f>IF(W34=4,2,"")</f>
        <v/>
      </c>
    </row>
    <row r="35" spans="1:25" ht="15.75" customHeight="1" thickBot="1" x14ac:dyDescent="0.3">
      <c r="A35" s="389"/>
      <c r="B35" s="326"/>
      <c r="C35" s="342"/>
      <c r="D35" s="332" t="s">
        <v>142</v>
      </c>
      <c r="E35" s="333"/>
      <c r="F35" s="54" t="str">
        <f t="shared" si="0"/>
        <v/>
      </c>
      <c r="G35" s="54" t="str">
        <f t="shared" si="1"/>
        <v/>
      </c>
      <c r="H35" s="54" t="str">
        <f t="shared" si="2"/>
        <v/>
      </c>
      <c r="I35" s="311"/>
      <c r="J35" s="243" t="s">
        <v>24</v>
      </c>
      <c r="K35" s="211"/>
      <c r="L35" s="350"/>
      <c r="M35" s="351"/>
      <c r="N35" s="352"/>
      <c r="O35" s="268"/>
      <c r="P35" s="109" t="s">
        <v>138</v>
      </c>
      <c r="Q35" s="110" t="b">
        <v>0</v>
      </c>
      <c r="R35" s="110"/>
      <c r="S35" s="84">
        <f>IF(Q35,1,0)</f>
        <v>0</v>
      </c>
      <c r="T35" s="202">
        <f>IF((SUM($S$35)=1),1,0)</f>
        <v>0</v>
      </c>
      <c r="U35" s="84">
        <f t="shared" si="13"/>
        <v>0</v>
      </c>
      <c r="V35" s="84" t="str">
        <f>IF(W35=4,"B","")</f>
        <v/>
      </c>
      <c r="W35" s="84">
        <f>IF((Q35)*(T35=1),4,0)</f>
        <v>0</v>
      </c>
      <c r="X35" s="84" t="str">
        <f>IF(W35=4,2,"")</f>
        <v/>
      </c>
      <c r="Y35" s="181" t="str">
        <f>IF(W35=4,2,"")</f>
        <v/>
      </c>
    </row>
    <row r="36" spans="1:25" ht="15.75" customHeight="1" thickBot="1" x14ac:dyDescent="0.3">
      <c r="A36" s="389"/>
      <c r="B36" s="327"/>
      <c r="C36" s="343"/>
      <c r="D36" s="335" t="s">
        <v>155</v>
      </c>
      <c r="E36" s="335"/>
      <c r="F36" s="312" t="str">
        <f t="shared" si="0"/>
        <v/>
      </c>
      <c r="G36" s="312" t="str">
        <f t="shared" si="1"/>
        <v/>
      </c>
      <c r="H36" s="312" t="str">
        <f t="shared" si="2"/>
        <v/>
      </c>
      <c r="I36" s="74"/>
      <c r="J36" s="314" t="s">
        <v>24</v>
      </c>
      <c r="K36" s="48"/>
      <c r="L36" s="353"/>
      <c r="M36" s="354"/>
      <c r="N36" s="355"/>
      <c r="O36" s="268"/>
      <c r="P36" s="271" t="str">
        <f t="shared" si="3"/>
        <v>Šokis</v>
      </c>
      <c r="Q36" s="315" t="b">
        <v>0</v>
      </c>
      <c r="R36" s="315"/>
      <c r="S36" s="316">
        <f>IF(Q36,1,0)</f>
        <v>0</v>
      </c>
      <c r="T36" s="320">
        <f>IF((SUM($S$36)=1),1,0)</f>
        <v>0</v>
      </c>
      <c r="U36" s="84">
        <f t="shared" si="13"/>
        <v>0</v>
      </c>
      <c r="V36" s="252" t="str">
        <f>IF(W36=4,"B","")</f>
        <v/>
      </c>
      <c r="W36" s="252">
        <f>IF((Q36)*(T36=1),4,0)</f>
        <v>0</v>
      </c>
      <c r="X36" s="252" t="str">
        <f>IF(W36=4,2,"")</f>
        <v/>
      </c>
      <c r="Y36" s="87" t="str">
        <f>IF(W36=4,2,"")</f>
        <v/>
      </c>
    </row>
    <row r="37" spans="1:25" ht="22.2" customHeight="1" thickBot="1" x14ac:dyDescent="0.3">
      <c r="A37" s="389"/>
      <c r="B37" s="220">
        <v>8</v>
      </c>
      <c r="C37" s="313" t="s">
        <v>156</v>
      </c>
      <c r="D37" s="335" t="s">
        <v>156</v>
      </c>
      <c r="E37" s="335"/>
      <c r="F37" s="73" t="str">
        <f t="shared" si="0"/>
        <v/>
      </c>
      <c r="G37" s="73" t="str">
        <f t="shared" si="1"/>
        <v/>
      </c>
      <c r="H37" s="73" t="str">
        <f t="shared" si="2"/>
        <v/>
      </c>
      <c r="I37" s="175"/>
      <c r="J37" s="204" t="s">
        <v>24</v>
      </c>
      <c r="K37" s="48"/>
      <c r="L37" s="344" t="str">
        <f>IF(NOT(Q37),"Privaloma pasirinkti  fizinį ugdymą","")</f>
        <v>Privaloma pasirinkti  fizinį ugdymą</v>
      </c>
      <c r="M37" s="345"/>
      <c r="N37" s="346"/>
      <c r="O37" s="268"/>
      <c r="P37" s="277" t="str">
        <f t="shared" si="3"/>
        <v>Fizinis ugdymas</v>
      </c>
      <c r="Q37" s="317" t="b">
        <v>0</v>
      </c>
      <c r="R37" s="317"/>
      <c r="S37" s="318">
        <f>IF(Q37,1,0)</f>
        <v>0</v>
      </c>
      <c r="T37" s="318">
        <f>IF((SUM($S$37)=1),1,0)</f>
        <v>0</v>
      </c>
      <c r="U37" s="318"/>
      <c r="V37" s="318" t="str">
        <f>IF(W37=4,"B","")</f>
        <v/>
      </c>
      <c r="W37" s="318">
        <f>IF((Q37)*(T37=1),4,0)</f>
        <v>0</v>
      </c>
      <c r="X37" s="318" t="str">
        <f>IF(W37=4,2,"")</f>
        <v/>
      </c>
      <c r="Y37" s="319" t="str">
        <f>IF(W37=4,2,"")</f>
        <v/>
      </c>
    </row>
    <row r="38" spans="1:25" s="103" customFormat="1" ht="18" customHeight="1" thickBot="1" x14ac:dyDescent="0.3">
      <c r="A38" s="236"/>
      <c r="B38" s="364" t="s">
        <v>45</v>
      </c>
      <c r="C38" s="365"/>
      <c r="D38" s="365"/>
      <c r="E38" s="365"/>
      <c r="F38" s="365"/>
      <c r="G38" s="365"/>
      <c r="H38" s="365"/>
      <c r="I38" s="365"/>
      <c r="J38" s="365"/>
      <c r="K38" s="48"/>
      <c r="L38" s="6"/>
      <c r="M38" s="6"/>
      <c r="N38" s="6"/>
      <c r="O38" s="6"/>
      <c r="P38" s="102"/>
      <c r="S38" s="104"/>
      <c r="T38" s="104"/>
      <c r="U38" s="205"/>
      <c r="V38" s="205"/>
      <c r="W38" s="205"/>
      <c r="X38" s="104"/>
      <c r="Y38" s="269"/>
    </row>
    <row r="39" spans="1:25" ht="15.75" customHeight="1" thickBot="1" x14ac:dyDescent="0.3">
      <c r="A39" s="5"/>
      <c r="B39" s="359">
        <v>9</v>
      </c>
      <c r="C39" s="336" t="s">
        <v>33</v>
      </c>
      <c r="D39" s="358" t="s">
        <v>34</v>
      </c>
      <c r="E39" s="358"/>
      <c r="F39" s="45" t="str">
        <f>V39</f>
        <v/>
      </c>
      <c r="G39" s="45" t="str">
        <f t="shared" ref="G39:H41" si="14">X39</f>
        <v/>
      </c>
      <c r="H39" s="45" t="str">
        <f t="shared" si="14"/>
        <v/>
      </c>
      <c r="I39" s="82" t="s">
        <v>24</v>
      </c>
      <c r="J39" s="71"/>
      <c r="K39" s="174"/>
      <c r="L39" s="339" t="str">
        <f>IF(SUM(S39:S40:S41)&gt;1,"Galima pasirinkti tik vieną informacinių technologijų dalyką","")</f>
        <v/>
      </c>
      <c r="M39" s="339"/>
      <c r="N39" s="339"/>
      <c r="O39" s="6"/>
      <c r="P39" s="271" t="str">
        <f>D39</f>
        <v>Elektroninė leidyba</v>
      </c>
      <c r="Q39" s="83"/>
      <c r="R39" s="245" t="b">
        <v>0</v>
      </c>
      <c r="S39" s="206">
        <f>IF(R39,1,0)</f>
        <v>0</v>
      </c>
      <c r="T39" s="206">
        <f>IF((SUM(S39:S41)=1),1,0)</f>
        <v>0</v>
      </c>
      <c r="U39" s="264"/>
      <c r="V39" s="207" t="str">
        <f>IF(W39=2,"B",IF(W39=4,"A",""))</f>
        <v/>
      </c>
      <c r="W39" s="209">
        <f>IF((R39)*(T39=1),4,0)</f>
        <v>0</v>
      </c>
      <c r="X39" s="51" t="str">
        <f>IF(W39=0,"",IF(W39=2,1,2))</f>
        <v/>
      </c>
      <c r="Y39" s="282" t="str">
        <f>IF(W39=0,"",IF(W39=4,2,1))</f>
        <v/>
      </c>
    </row>
    <row r="40" spans="1:25" ht="16.5" customHeight="1" thickBot="1" x14ac:dyDescent="0.3">
      <c r="A40" s="5"/>
      <c r="B40" s="359"/>
      <c r="C40" s="337"/>
      <c r="D40" s="334" t="s">
        <v>35</v>
      </c>
      <c r="E40" s="334"/>
      <c r="F40" s="233" t="str">
        <f>V40</f>
        <v/>
      </c>
      <c r="G40" s="233" t="str">
        <f t="shared" si="14"/>
        <v/>
      </c>
      <c r="H40" s="233" t="str">
        <f t="shared" si="14"/>
        <v/>
      </c>
      <c r="I40" s="234" t="s">
        <v>24</v>
      </c>
      <c r="J40" s="235"/>
      <c r="K40" s="174"/>
      <c r="L40" s="339"/>
      <c r="M40" s="339"/>
      <c r="N40" s="339"/>
      <c r="O40" s="6"/>
      <c r="P40" s="275" t="str">
        <f>D40</f>
        <v>Programavimas</v>
      </c>
      <c r="Q40" s="216"/>
      <c r="R40" s="246" t="b">
        <v>0</v>
      </c>
      <c r="S40" s="206">
        <f>IF(R40,1,0)</f>
        <v>0</v>
      </c>
      <c r="T40" s="206">
        <f>IF((SUM(S39:S41)=1),1,0)</f>
        <v>0</v>
      </c>
      <c r="U40" s="265"/>
      <c r="V40" s="217" t="str">
        <f>IF(W40=2,"B",IF(W40=4,"A",""))</f>
        <v/>
      </c>
      <c r="W40" s="218">
        <f>IF((R40)*(T40=1),4,0)</f>
        <v>0</v>
      </c>
      <c r="X40" s="219" t="str">
        <f>IF(W40=0,"",IF(W40=2,1,3))</f>
        <v/>
      </c>
      <c r="Y40" s="291" t="str">
        <f>IF(W40=0,"",IF(W40=4,2,1))</f>
        <v/>
      </c>
    </row>
    <row r="41" spans="1:25" ht="16.5" customHeight="1" thickBot="1" x14ac:dyDescent="0.3">
      <c r="A41" s="5"/>
      <c r="B41" s="359"/>
      <c r="C41" s="338"/>
      <c r="D41" s="356" t="s">
        <v>33</v>
      </c>
      <c r="E41" s="357"/>
      <c r="F41" s="230" t="str">
        <f>V41</f>
        <v/>
      </c>
      <c r="G41" s="230" t="str">
        <f t="shared" si="14"/>
        <v/>
      </c>
      <c r="H41" s="230" t="str">
        <f t="shared" si="14"/>
        <v/>
      </c>
      <c r="I41" s="231"/>
      <c r="J41" s="232" t="s">
        <v>135</v>
      </c>
      <c r="K41" s="63"/>
      <c r="L41" s="339"/>
      <c r="M41" s="339"/>
      <c r="N41" s="339"/>
      <c r="O41" s="6"/>
      <c r="P41" s="278" t="str">
        <f>D41</f>
        <v>Informacinės technologijos</v>
      </c>
      <c r="Q41" s="221" t="b">
        <v>0</v>
      </c>
      <c r="R41" s="222"/>
      <c r="S41" s="244">
        <f>IF(Q41,1,0)</f>
        <v>0</v>
      </c>
      <c r="T41" s="244">
        <f>IF((SUM(S39:S41)=1),1,0)</f>
        <v>0</v>
      </c>
      <c r="U41" s="206"/>
      <c r="V41" s="267" t="str">
        <f>IF((W41=2),"B","")</f>
        <v/>
      </c>
      <c r="W41" s="43">
        <f>IF((Q41)*(T41=1),2,0)</f>
        <v>0</v>
      </c>
      <c r="X41" s="266" t="str">
        <f>IF(W41=0,"",IF(W41=2,1,1))</f>
        <v/>
      </c>
      <c r="Y41" s="292" t="str">
        <f>IF(AND(W41=0),"",IF(W41=2,1,""))</f>
        <v/>
      </c>
    </row>
    <row r="42" spans="1:25" s="103" customFormat="1" ht="9" customHeight="1" x14ac:dyDescent="0.25">
      <c r="A42" s="5"/>
      <c r="B42" s="48"/>
      <c r="C42" s="44"/>
      <c r="D42" s="100"/>
      <c r="E42" s="100"/>
      <c r="F42" s="44"/>
      <c r="G42" s="44"/>
      <c r="H42" s="44"/>
      <c r="I42" s="101"/>
      <c r="J42" s="48"/>
      <c r="K42" s="48"/>
      <c r="L42" s="119"/>
      <c r="M42" s="119"/>
      <c r="N42" s="119"/>
      <c r="O42" s="6"/>
      <c r="P42" s="102"/>
      <c r="S42" s="104"/>
      <c r="T42" s="104"/>
      <c r="U42" s="104"/>
      <c r="V42" s="104"/>
      <c r="W42" s="104"/>
      <c r="X42" s="104"/>
      <c r="Y42" s="269"/>
    </row>
    <row r="43" spans="1:25" ht="14.4" customHeight="1" x14ac:dyDescent="0.25">
      <c r="B43" s="114"/>
      <c r="C43" s="3"/>
      <c r="D43" s="115"/>
      <c r="E43" s="115"/>
      <c r="F43" s="3"/>
      <c r="G43" s="3"/>
      <c r="H43" s="3"/>
      <c r="I43" s="116"/>
      <c r="J43" s="117"/>
      <c r="K43" s="63"/>
      <c r="P43" s="102"/>
      <c r="Q43" s="103"/>
      <c r="R43" s="103"/>
      <c r="S43" s="104"/>
      <c r="T43" s="104"/>
      <c r="U43" s="104"/>
      <c r="V43" s="104"/>
      <c r="W43" s="118"/>
      <c r="X43" s="118"/>
      <c r="Y43" s="269"/>
    </row>
    <row r="44" spans="1:25" ht="18" customHeight="1" thickBot="1" x14ac:dyDescent="0.3">
      <c r="B44" s="361" t="s">
        <v>45</v>
      </c>
      <c r="C44" s="362"/>
      <c r="D44" s="362"/>
      <c r="E44" s="362"/>
      <c r="F44" s="362"/>
      <c r="G44" s="362"/>
      <c r="H44" s="362"/>
      <c r="I44" s="363"/>
      <c r="J44" s="208"/>
      <c r="K44" s="105"/>
      <c r="M44" s="6"/>
      <c r="N44" s="6"/>
      <c r="O44" s="6"/>
      <c r="P44" s="106"/>
      <c r="Q44" s="107"/>
      <c r="R44" s="107"/>
      <c r="S44" s="108"/>
      <c r="T44" s="108"/>
      <c r="U44" s="108"/>
      <c r="V44" s="108"/>
      <c r="W44" s="107"/>
      <c r="X44" s="107"/>
      <c r="Y44" s="107"/>
    </row>
    <row r="45" spans="1:25" ht="15.75" customHeight="1" x14ac:dyDescent="0.25">
      <c r="B45" s="2">
        <v>11</v>
      </c>
      <c r="C45" s="360" t="s">
        <v>46</v>
      </c>
      <c r="D45" s="360"/>
      <c r="E45" s="360"/>
      <c r="F45" s="121" t="str">
        <f>V45</f>
        <v/>
      </c>
      <c r="G45" s="99" t="str">
        <f t="shared" ref="G45:H49" si="15">X45</f>
        <v/>
      </c>
      <c r="H45" s="99" t="str">
        <f t="shared" si="15"/>
        <v/>
      </c>
      <c r="I45" s="122"/>
      <c r="J45" s="123"/>
      <c r="O45" s="6"/>
      <c r="P45" s="109" t="str">
        <f>C45</f>
        <v>Braižyba</v>
      </c>
      <c r="Q45" s="110" t="b">
        <v>0</v>
      </c>
      <c r="R45" s="110"/>
      <c r="S45" s="111">
        <f>IF(Q45,1,0)</f>
        <v>0</v>
      </c>
      <c r="T45" s="84"/>
      <c r="U45" s="84"/>
      <c r="V45" s="84" t="str">
        <f>IF(W45=2,"P","")</f>
        <v/>
      </c>
      <c r="W45" s="84">
        <f>IF(Q45,2,0)</f>
        <v>0</v>
      </c>
      <c r="X45" s="84" t="str">
        <f>IF(W45=2,1,"")</f>
        <v/>
      </c>
      <c r="Y45" s="181" t="str">
        <f>IF(W45=2,1,"")</f>
        <v/>
      </c>
    </row>
    <row r="46" spans="1:25" ht="15.75" customHeight="1" x14ac:dyDescent="0.25">
      <c r="B46" s="2">
        <v>12</v>
      </c>
      <c r="C46" s="360" t="s">
        <v>47</v>
      </c>
      <c r="D46" s="360"/>
      <c r="E46" s="360"/>
      <c r="F46" s="121" t="str">
        <f>V46</f>
        <v/>
      </c>
      <c r="G46" s="99" t="str">
        <f t="shared" si="15"/>
        <v/>
      </c>
      <c r="H46" s="99" t="str">
        <f t="shared" si="15"/>
        <v/>
      </c>
      <c r="I46" s="122"/>
      <c r="O46" s="6"/>
      <c r="P46" s="112" t="str">
        <f>C46</f>
        <v>Ekonomika ir verslumas</v>
      </c>
      <c r="Q46" s="86" t="b">
        <v>0</v>
      </c>
      <c r="R46" s="86"/>
      <c r="S46" s="113">
        <f>IF(Q46,1,0)</f>
        <v>0</v>
      </c>
      <c r="T46" s="98"/>
      <c r="U46" s="98"/>
      <c r="V46" s="84" t="str">
        <f>IF(W46=2,"P","")</f>
        <v/>
      </c>
      <c r="W46" s="98">
        <f>IF(Q46,2,0)</f>
        <v>0</v>
      </c>
      <c r="X46" s="98" t="str">
        <f>IF(W46=2,1,"")</f>
        <v/>
      </c>
      <c r="Y46" s="293" t="str">
        <f>IF(W46=2,1,"")</f>
        <v/>
      </c>
    </row>
    <row r="47" spans="1:25" ht="15.75" customHeight="1" x14ac:dyDescent="0.25">
      <c r="B47" s="254">
        <v>13</v>
      </c>
      <c r="C47" s="328" t="s">
        <v>144</v>
      </c>
      <c r="D47" s="329"/>
      <c r="E47" s="330"/>
      <c r="F47" s="121" t="str">
        <f>V47</f>
        <v/>
      </c>
      <c r="G47" s="255" t="str">
        <f t="shared" si="15"/>
        <v/>
      </c>
      <c r="H47" s="255" t="str">
        <f t="shared" si="15"/>
        <v/>
      </c>
      <c r="I47" s="122"/>
      <c r="O47" s="6"/>
      <c r="P47" s="249" t="str">
        <f>C47</f>
        <v>Filosofija</v>
      </c>
      <c r="Q47" s="250" t="b">
        <v>0</v>
      </c>
      <c r="R47" s="250"/>
      <c r="S47" s="251">
        <f>IF(Q47,1,0)</f>
        <v>0</v>
      </c>
      <c r="T47" s="253"/>
      <c r="U47" s="253"/>
      <c r="V47" s="252" t="str">
        <f>IF(W47=2,"P","")</f>
        <v/>
      </c>
      <c r="W47" s="253">
        <f>IF(Q47,2,0)</f>
        <v>0</v>
      </c>
      <c r="X47" s="253" t="str">
        <f>IF(W47=2,1,"")</f>
        <v/>
      </c>
      <c r="Y47" s="294" t="str">
        <f>IF(W47=2,1,"")</f>
        <v/>
      </c>
    </row>
    <row r="48" spans="1:25" ht="15.6" customHeight="1" thickBot="1" x14ac:dyDescent="0.3">
      <c r="B48" s="303">
        <v>14</v>
      </c>
      <c r="C48" s="368" t="s">
        <v>49</v>
      </c>
      <c r="D48" s="368"/>
      <c r="E48" s="368"/>
      <c r="F48" s="304" t="str">
        <f>V48</f>
        <v/>
      </c>
      <c r="G48" s="70" t="str">
        <f t="shared" si="15"/>
        <v/>
      </c>
      <c r="H48" s="70" t="str">
        <f t="shared" si="15"/>
        <v/>
      </c>
      <c r="I48" s="129"/>
      <c r="N48" s="6"/>
      <c r="O48" s="6"/>
      <c r="P48" s="277" t="str">
        <f>C48</f>
        <v>Psichologija</v>
      </c>
      <c r="Q48" s="187" t="b">
        <v>0</v>
      </c>
      <c r="R48" s="187"/>
      <c r="S48" s="189">
        <f>IF(Q48,1,0)</f>
        <v>0</v>
      </c>
      <c r="T48" s="188"/>
      <c r="U48" s="188"/>
      <c r="V48" s="188" t="str">
        <f>IF(W48=2,"P","")</f>
        <v/>
      </c>
      <c r="W48" s="188">
        <f>IF(Q48,2,0)</f>
        <v>0</v>
      </c>
      <c r="X48" s="188" t="str">
        <f>IF(W48=2,1,"")</f>
        <v/>
      </c>
      <c r="Y48" s="290" t="str">
        <f>IF(W48=2,1,"")</f>
        <v/>
      </c>
    </row>
    <row r="49" spans="1:26" ht="15.6" customHeight="1" thickBot="1" x14ac:dyDescent="0.3">
      <c r="B49" s="302">
        <v>15</v>
      </c>
      <c r="C49" s="378" t="s">
        <v>159</v>
      </c>
      <c r="D49" s="378"/>
      <c r="E49" s="378"/>
      <c r="F49" s="220" t="str">
        <f>V49</f>
        <v/>
      </c>
      <c r="G49" s="220" t="str">
        <f t="shared" si="15"/>
        <v/>
      </c>
      <c r="H49" s="220" t="str">
        <f t="shared" si="15"/>
        <v/>
      </c>
      <c r="I49" s="220"/>
      <c r="J49" s="126"/>
      <c r="K49" s="48"/>
      <c r="P49" s="277" t="str">
        <f>C49</f>
        <v>Fotografija</v>
      </c>
      <c r="Q49" s="187" t="b">
        <v>0</v>
      </c>
      <c r="R49" s="187"/>
      <c r="S49" s="189">
        <f>IF(Q49,1,0)</f>
        <v>0</v>
      </c>
      <c r="T49" s="188"/>
      <c r="U49" s="188"/>
      <c r="V49" s="188" t="str">
        <f>IF(W49=2,"P","")</f>
        <v/>
      </c>
      <c r="W49" s="188">
        <f>IF(Q49,2,0)</f>
        <v>0</v>
      </c>
      <c r="X49" s="188" t="str">
        <f>IF(W49=2,1,"")</f>
        <v/>
      </c>
      <c r="Y49" s="290" t="str">
        <f>IF(W49=2,1,"")</f>
        <v/>
      </c>
    </row>
    <row r="50" spans="1:26" ht="13.8" customHeight="1" x14ac:dyDescent="0.25">
      <c r="B50" s="124"/>
      <c r="C50" s="9"/>
      <c r="D50" s="124"/>
      <c r="E50" s="124"/>
      <c r="F50" s="125"/>
      <c r="G50" s="125"/>
      <c r="H50" s="125"/>
      <c r="I50" s="125"/>
      <c r="J50" s="126"/>
      <c r="K50" s="48"/>
      <c r="P50" s="102"/>
      <c r="Q50" s="4"/>
      <c r="Y50" s="295"/>
    </row>
    <row r="51" spans="1:26" ht="16.2" customHeight="1" thickBot="1" x14ac:dyDescent="0.3">
      <c r="A51" s="5"/>
      <c r="B51" s="371" t="s">
        <v>50</v>
      </c>
      <c r="C51" s="371"/>
      <c r="D51" s="365"/>
      <c r="E51" s="365"/>
      <c r="F51" s="365"/>
      <c r="G51" s="365"/>
      <c r="H51" s="365"/>
      <c r="I51" s="365"/>
      <c r="J51" s="44"/>
      <c r="K51" s="44"/>
      <c r="L51" s="119"/>
      <c r="M51" s="119"/>
      <c r="N51" s="119"/>
      <c r="O51" s="119"/>
      <c r="P51" s="176"/>
      <c r="Q51" s="5"/>
      <c r="R51" s="120"/>
      <c r="S51" s="91"/>
      <c r="T51" s="91"/>
      <c r="U51" s="91"/>
      <c r="V51" s="91"/>
      <c r="W51" s="91"/>
      <c r="X51" s="91"/>
      <c r="Y51" s="91"/>
    </row>
    <row r="52" spans="1:26" ht="27.6" customHeight="1" x14ac:dyDescent="0.25">
      <c r="A52" s="5"/>
      <c r="B52" s="359">
        <v>15</v>
      </c>
      <c r="C52" s="301" t="s">
        <v>51</v>
      </c>
      <c r="D52" s="330" t="s">
        <v>158</v>
      </c>
      <c r="E52" s="360"/>
      <c r="F52" s="182" t="str">
        <f t="shared" ref="F52:F62" si="16">V52</f>
        <v/>
      </c>
      <c r="G52" s="70" t="str">
        <f>X52</f>
        <v/>
      </c>
      <c r="H52" s="190" t="str">
        <f>Y52</f>
        <v/>
      </c>
      <c r="I52" s="129"/>
      <c r="J52" s="44"/>
      <c r="K52" s="44"/>
      <c r="L52" s="367" t="str">
        <f>IF(NOT(Q52),"Dalykas laisvai pasirenkamas","")</f>
        <v>Dalykas laisvai pasirenkamas</v>
      </c>
      <c r="M52" s="367"/>
      <c r="N52" s="367"/>
      <c r="O52" s="119"/>
      <c r="P52" s="279" t="str">
        <f t="shared" ref="P52:P62" si="17">D52</f>
        <v>Žydų kultūros, istorijos, religijos ir literatūros pasaulyje</v>
      </c>
      <c r="Q52" s="178" t="b">
        <v>0</v>
      </c>
      <c r="R52" s="179"/>
      <c r="S52" s="180">
        <f>IF(Q52,1,0)</f>
        <v>0</v>
      </c>
      <c r="T52" s="86"/>
      <c r="U52" s="113">
        <f>IF(S52=1,1,0)</f>
        <v>0</v>
      </c>
      <c r="V52" s="113" t="str">
        <f>IF(W52&lt;&gt;0,"M","")</f>
        <v/>
      </c>
      <c r="W52" s="98">
        <f>IF(Q52*U52,2,0)</f>
        <v>0</v>
      </c>
      <c r="X52" s="195" t="str">
        <f>IF(W52=2,1,"")</f>
        <v/>
      </c>
      <c r="Y52" s="296" t="str">
        <f>IF(W52=2,1,"")</f>
        <v/>
      </c>
    </row>
    <row r="53" spans="1:26" ht="33.6" customHeight="1" x14ac:dyDescent="0.25">
      <c r="A53" s="5"/>
      <c r="B53" s="359"/>
      <c r="C53" s="301" t="s">
        <v>122</v>
      </c>
      <c r="D53" s="370" t="s">
        <v>164</v>
      </c>
      <c r="E53" s="368"/>
      <c r="F53" s="182" t="str">
        <f>V53</f>
        <v/>
      </c>
      <c r="G53" s="70" t="str">
        <f>X53</f>
        <v/>
      </c>
      <c r="H53" s="190" t="str">
        <f>Y53</f>
        <v/>
      </c>
      <c r="I53" s="183"/>
      <c r="J53" s="44"/>
      <c r="K53" s="44"/>
      <c r="L53" s="367" t="str">
        <f>IF(NOT(Q53),"Dalykas laisvai pasirenkamas","")</f>
        <v>Dalykas laisvai pasirenkamas</v>
      </c>
      <c r="M53" s="367"/>
      <c r="N53" s="367"/>
      <c r="O53" s="119"/>
      <c r="P53" s="279" t="str">
        <f t="shared" si="17"/>
        <v>"Vokiečių kalba komunikacijai" tik vokiečių kalbą pasirinkusiems</v>
      </c>
      <c r="Q53" s="196" t="b">
        <v>0</v>
      </c>
      <c r="R53" s="179"/>
      <c r="S53" s="180">
        <f>IF(Q53,1,0)</f>
        <v>0</v>
      </c>
      <c r="T53" s="86"/>
      <c r="U53" s="113">
        <f>IF(S53=1,1,0)</f>
        <v>0</v>
      </c>
      <c r="V53" s="113" t="str">
        <f>IF(W53&lt;&gt;0,"M","")</f>
        <v/>
      </c>
      <c r="W53" s="98">
        <f>IF(Q53*U53,2,0)</f>
        <v>0</v>
      </c>
      <c r="X53" s="87" t="str">
        <f>IF(W53=2,1,"")</f>
        <v/>
      </c>
      <c r="Y53" s="297" t="str">
        <f>IF(W53=2,1,"")</f>
        <v/>
      </c>
    </row>
    <row r="54" spans="1:26" ht="0.6" hidden="1" customHeight="1" x14ac:dyDescent="0.25">
      <c r="B54" s="376">
        <v>16</v>
      </c>
      <c r="C54" s="374" t="s">
        <v>37</v>
      </c>
      <c r="D54" s="335" t="s">
        <v>151</v>
      </c>
      <c r="E54" s="369"/>
      <c r="F54" s="193" t="str">
        <f t="shared" si="16"/>
        <v/>
      </c>
      <c r="G54" s="194" t="str">
        <f>X54</f>
        <v/>
      </c>
      <c r="H54" s="194"/>
      <c r="I54" s="192"/>
      <c r="J54" s="127"/>
      <c r="K54" s="128"/>
      <c r="L54" s="367" t="str">
        <f>IF(NOT(Q54),"Dalykas laisvai pasirenkamas","")</f>
        <v>Dalykas laisvai pasirenkamas</v>
      </c>
      <c r="M54" s="367"/>
      <c r="N54" s="367"/>
      <c r="O54" s="6"/>
      <c r="P54" s="112" t="str">
        <f t="shared" si="17"/>
        <v>Ląstelės ir organizmų funkcionavimo valdymas (III kl)</v>
      </c>
      <c r="Q54" s="58" t="b">
        <v>0</v>
      </c>
      <c r="R54" s="86"/>
      <c r="S54" s="98">
        <f>IF(Q54,1,0)</f>
        <v>0</v>
      </c>
      <c r="T54" s="86"/>
      <c r="U54" s="113">
        <f>IF(S54=1,1,0)</f>
        <v>0</v>
      </c>
      <c r="V54" s="113" t="str">
        <f>IF(W54&lt;&gt;0,"M","")</f>
        <v/>
      </c>
      <c r="W54" s="98">
        <f>IF(Q54*U54,2,0)</f>
        <v>0</v>
      </c>
      <c r="X54" s="98" t="str">
        <f>IF(W54=2,1,"")</f>
        <v/>
      </c>
      <c r="Y54" s="293" t="str">
        <f>IF(W54=2,1,"")</f>
        <v/>
      </c>
    </row>
    <row r="55" spans="1:26" ht="1.2" hidden="1" customHeight="1" x14ac:dyDescent="0.25">
      <c r="B55" s="377"/>
      <c r="C55" s="375"/>
      <c r="D55" s="372" t="s">
        <v>150</v>
      </c>
      <c r="E55" s="373"/>
      <c r="F55" s="193" t="str">
        <f>V55</f>
        <v/>
      </c>
      <c r="G55" s="262"/>
      <c r="H55" s="262" t="str">
        <f>Y55</f>
        <v/>
      </c>
      <c r="I55" s="263"/>
      <c r="J55" s="127"/>
      <c r="K55" s="128"/>
      <c r="L55" s="261" t="str">
        <f>IF(AND($V27="A",$Q55=FALSE),"Modulis privalomas A kursui",IF(AND(S55=1,NOT(R27)),"Turite pasirinkti BIOLOGIJOS A kursą",""))</f>
        <v/>
      </c>
      <c r="M55" s="261"/>
      <c r="N55" s="261"/>
      <c r="O55" s="6"/>
      <c r="P55" s="249" t="str">
        <f>D55</f>
        <v>Organizmų įvairovė ir evoliucija. Genetikos pagrindai (IV kl)</v>
      </c>
      <c r="Q55" s="213" t="b">
        <v>0</v>
      </c>
      <c r="R55" s="250"/>
      <c r="S55" s="253">
        <f>IF(Q55,1,0)</f>
        <v>0</v>
      </c>
      <c r="T55" s="250"/>
      <c r="U55" s="251">
        <f>IF(AND(S55=1,R27),1,0)</f>
        <v>0</v>
      </c>
      <c r="V55" s="251" t="str">
        <f>IF(W55&lt;&gt;0,"M","")</f>
        <v/>
      </c>
      <c r="W55" s="253">
        <f>IF(Q55*U55,1,0)</f>
        <v>0</v>
      </c>
      <c r="X55" s="253"/>
      <c r="Y55" s="294" t="str">
        <f>IF(W55=1,1,"")</f>
        <v/>
      </c>
    </row>
    <row r="56" spans="1:26" ht="40.200000000000003" hidden="1" customHeight="1" x14ac:dyDescent="0.25">
      <c r="B56" s="220">
        <v>17</v>
      </c>
      <c r="C56" s="259" t="s">
        <v>38</v>
      </c>
      <c r="D56" s="324" t="s">
        <v>147</v>
      </c>
      <c r="E56" s="324"/>
      <c r="F56" s="191" t="str">
        <f t="shared" si="16"/>
        <v/>
      </c>
      <c r="G56" s="73" t="str">
        <f>X56</f>
        <v/>
      </c>
      <c r="H56" s="73" t="str">
        <f t="shared" ref="H56:H62" si="18">Y56</f>
        <v/>
      </c>
      <c r="I56" s="184"/>
      <c r="J56" s="127"/>
      <c r="K56" s="128"/>
      <c r="L56" s="366" t="str">
        <f>IF(AND($V28="A",$Q56=FALSE),"Modulis privalomas A kursui",IF(AND(S56=1,NOT(R28)),"Turite pasirinkti CHEMIJOS A kursą",""))</f>
        <v/>
      </c>
      <c r="M56" s="366"/>
      <c r="N56" s="366"/>
      <c r="O56" s="6"/>
      <c r="P56" s="280" t="str">
        <f t="shared" si="17"/>
        <v>Uždavinių sprendimo metodika</v>
      </c>
      <c r="Q56" s="185" t="b">
        <v>0</v>
      </c>
      <c r="R56" s="179"/>
      <c r="S56" s="180">
        <f t="shared" ref="S56:S62" si="19">IF(Q56,1,0)</f>
        <v>0</v>
      </c>
      <c r="T56" s="179"/>
      <c r="U56" s="186">
        <f>IF(AND(S56=1,R28),1,0)</f>
        <v>0</v>
      </c>
      <c r="V56" s="186" t="str">
        <f t="shared" ref="V56:V62" si="20">IF(W56&lt;&gt;0,"M","")</f>
        <v/>
      </c>
      <c r="W56" s="180">
        <f>IF(Q56*U56,2,0)</f>
        <v>0</v>
      </c>
      <c r="X56" s="180" t="str">
        <f>IF(W56=2,1,"")</f>
        <v/>
      </c>
      <c r="Y56" s="298" t="str">
        <f>IF(W56=2,1,"")</f>
        <v/>
      </c>
    </row>
    <row r="57" spans="1:26" ht="17.399999999999999" hidden="1" customHeight="1" x14ac:dyDescent="0.25">
      <c r="B57" s="257">
        <v>18</v>
      </c>
      <c r="C57" s="260" t="s">
        <v>39</v>
      </c>
      <c r="D57" s="324" t="s">
        <v>145</v>
      </c>
      <c r="E57" s="324"/>
      <c r="F57" s="121" t="str">
        <f t="shared" si="16"/>
        <v/>
      </c>
      <c r="G57" s="99"/>
      <c r="H57" s="99" t="str">
        <f t="shared" si="18"/>
        <v/>
      </c>
      <c r="I57" s="129"/>
      <c r="J57" s="127"/>
      <c r="K57" s="128"/>
      <c r="L57" s="366" t="str">
        <f>IF(AND($V29="A",$Q57=FALSE),"Modulis privalomas A kursui",IF(AND(S57=1,NOT(R29)),"Turite pasirinkti FIZIKOS A kursą",""))</f>
        <v/>
      </c>
      <c r="M57" s="366"/>
      <c r="N57" s="366"/>
      <c r="O57" s="6"/>
      <c r="P57" s="275" t="str">
        <f t="shared" si="17"/>
        <v>Integruotų kompleksinių užduočių sprendimas ir analizė</v>
      </c>
      <c r="Q57" s="177" t="b">
        <v>0</v>
      </c>
      <c r="R57" s="110"/>
      <c r="S57" s="84">
        <f t="shared" si="19"/>
        <v>0</v>
      </c>
      <c r="T57" s="110"/>
      <c r="U57" s="111">
        <f>IF(AND(S57=1,R29),1,0)</f>
        <v>0</v>
      </c>
      <c r="V57" s="111" t="str">
        <f t="shared" si="20"/>
        <v/>
      </c>
      <c r="W57" s="84">
        <f>IF(Q57*U57,1,0)</f>
        <v>0</v>
      </c>
      <c r="X57" s="84"/>
      <c r="Y57" s="181" t="str">
        <f>IF(W57=1,1,"")</f>
        <v/>
      </c>
    </row>
    <row r="58" spans="1:26" ht="40.200000000000003" hidden="1" customHeight="1" x14ac:dyDescent="0.25">
      <c r="B58" s="359">
        <v>19</v>
      </c>
      <c r="C58" s="386" t="s">
        <v>32</v>
      </c>
      <c r="D58" s="373" t="s">
        <v>152</v>
      </c>
      <c r="E58" s="380"/>
      <c r="F58" s="182" t="str">
        <f t="shared" si="16"/>
        <v/>
      </c>
      <c r="G58" s="70" t="str">
        <f>X58</f>
        <v/>
      </c>
      <c r="H58" s="70"/>
      <c r="I58" s="183"/>
      <c r="J58" s="127"/>
      <c r="K58" s="128"/>
      <c r="L58" s="366" t="str">
        <f>IF(AND($V16="A",$Q58=FALSE),"Modulis privalomas A kursui",IF(AND(S58=1,NOT(R16)),"Turite pasirinkti MATEMATIKOS A kursą",""))</f>
        <v/>
      </c>
      <c r="M58" s="366"/>
      <c r="N58" s="366"/>
      <c r="O58" s="6"/>
      <c r="P58" s="249" t="str">
        <f t="shared" si="17"/>
        <v>Praktinio turinio uždavinių sprendimo būdai (III kl)</v>
      </c>
      <c r="Q58" s="58" t="b">
        <v>0</v>
      </c>
      <c r="R58" s="86"/>
      <c r="S58" s="98">
        <f t="shared" si="19"/>
        <v>0</v>
      </c>
      <c r="T58" s="86"/>
      <c r="U58" s="113">
        <f>IF(AND(S58=1,R16),1,0)</f>
        <v>0</v>
      </c>
      <c r="V58" s="113" t="str">
        <f t="shared" si="20"/>
        <v/>
      </c>
      <c r="W58" s="98">
        <f>IF(Q58*U58,1,0)</f>
        <v>0</v>
      </c>
      <c r="X58" s="98" t="str">
        <f>IF(W58=1,1,"")</f>
        <v/>
      </c>
      <c r="Y58" s="293"/>
    </row>
    <row r="59" spans="1:26" ht="40.200000000000003" hidden="1" customHeight="1" x14ac:dyDescent="0.25">
      <c r="A59" s="5"/>
      <c r="B59" s="359"/>
      <c r="C59" s="386"/>
      <c r="D59" s="330" t="s">
        <v>153</v>
      </c>
      <c r="E59" s="360"/>
      <c r="F59" s="182" t="str">
        <f t="shared" si="16"/>
        <v/>
      </c>
      <c r="G59" s="70"/>
      <c r="H59" s="190" t="str">
        <f t="shared" si="18"/>
        <v/>
      </c>
      <c r="I59" s="247"/>
      <c r="J59" s="44"/>
      <c r="K59" s="44"/>
      <c r="L59" s="366" t="str">
        <f>IF(AND($V16="A",$Q59=FALSE),"Modulis privalomas A kursui",IF(AND(S59=1,NOT(R16)),"Turite pasirinkti MATEMATIKOS A kursą",""))</f>
        <v/>
      </c>
      <c r="M59" s="366"/>
      <c r="N59" s="366"/>
      <c r="O59" s="119"/>
      <c r="P59" s="112" t="str">
        <f t="shared" si="17"/>
        <v>Praktinio turinio ir  sudėtingesnių uždavinių sprendimo būdai (IV kl)</v>
      </c>
      <c r="Q59" s="58" t="b">
        <v>0</v>
      </c>
      <c r="R59" s="86"/>
      <c r="S59" s="98">
        <f t="shared" si="19"/>
        <v>0</v>
      </c>
      <c r="T59" s="86"/>
      <c r="U59" s="113">
        <f>IF(AND(S59=1,R16),1,0)</f>
        <v>0</v>
      </c>
      <c r="V59" s="113" t="str">
        <f t="shared" si="20"/>
        <v/>
      </c>
      <c r="W59" s="98">
        <f>IF(Q59*U59,1,0)</f>
        <v>0</v>
      </c>
      <c r="X59" s="253" t="str">
        <f>IF(W59=1,1,"")</f>
        <v/>
      </c>
      <c r="Y59" s="87" t="str">
        <f>IF(W59=1,1,"")</f>
        <v/>
      </c>
    </row>
    <row r="60" spans="1:26" ht="40.200000000000003" hidden="1" customHeight="1" x14ac:dyDescent="0.25">
      <c r="A60" s="5"/>
      <c r="B60" s="325">
        <v>20</v>
      </c>
      <c r="C60" s="384" t="s">
        <v>30</v>
      </c>
      <c r="D60" s="372" t="s">
        <v>149</v>
      </c>
      <c r="E60" s="380"/>
      <c r="F60" s="182" t="str">
        <f t="shared" si="16"/>
        <v/>
      </c>
      <c r="G60" s="70" t="str">
        <f>X60</f>
        <v/>
      </c>
      <c r="H60" s="190"/>
      <c r="I60" s="247"/>
      <c r="J60" s="44"/>
      <c r="K60" s="44"/>
      <c r="L60" s="261" t="str">
        <f>IF(AND($V25="A",$Q60=FALSE),"Modulis privalomas A kursui",IF(AND(S60=1,NOT(R25)),"Turite pasirinkti ISTORIJOS A kursą",""))</f>
        <v/>
      </c>
      <c r="M60" s="261"/>
      <c r="N60" s="261"/>
      <c r="O60" s="119"/>
      <c r="P60" s="281" t="str">
        <f t="shared" si="17"/>
        <v>LDK ir Europos visuomenės raida(XVI-XVIII a.) (III kl)</v>
      </c>
      <c r="Q60" s="177" t="b">
        <v>0</v>
      </c>
      <c r="R60" s="110"/>
      <c r="S60" s="84">
        <f>IF(Q60,1,0)</f>
        <v>0</v>
      </c>
      <c r="T60" s="110"/>
      <c r="U60" s="111">
        <f>IF(AND(S60=1,R25),1,0)</f>
        <v>0</v>
      </c>
      <c r="V60" s="111" t="str">
        <f>IF(W60&lt;&gt;0,"M","")</f>
        <v/>
      </c>
      <c r="W60" s="181">
        <f>IF(Q60*U60,2,0)</f>
        <v>0</v>
      </c>
      <c r="X60" s="206" t="str">
        <f>IF(W60=2,1,"")</f>
        <v/>
      </c>
      <c r="Y60" s="299"/>
    </row>
    <row r="61" spans="1:26" ht="40.200000000000003" hidden="1" customHeight="1" x14ac:dyDescent="0.25">
      <c r="A61" s="5"/>
      <c r="B61" s="327"/>
      <c r="C61" s="385"/>
      <c r="D61" s="372" t="s">
        <v>148</v>
      </c>
      <c r="E61" s="380"/>
      <c r="F61" s="182" t="str">
        <f>V61</f>
        <v/>
      </c>
      <c r="G61" s="70"/>
      <c r="H61" s="190" t="str">
        <f>Y61</f>
        <v/>
      </c>
      <c r="I61" s="247"/>
      <c r="J61" s="44"/>
      <c r="K61" s="44"/>
      <c r="L61" s="366" t="str">
        <f>IF(AND($V25="A",$Q61=FALSE),"Modulis privalomas A kursui",IF(AND(S61=1,NOT(R25)),"Turite pasirinkti ISTORIJOS A kursą",""))</f>
        <v/>
      </c>
      <c r="M61" s="366"/>
      <c r="N61" s="366"/>
      <c r="O61" s="119"/>
      <c r="P61" s="281" t="str">
        <f t="shared" si="17"/>
        <v>Lietuvos ir Europos visuomenės raida (XIV–XX a.) (IV kl)</v>
      </c>
      <c r="Q61" s="177" t="b">
        <v>0</v>
      </c>
      <c r="R61" s="110"/>
      <c r="S61" s="84">
        <f>IF(Q61,1,0)</f>
        <v>0</v>
      </c>
      <c r="T61" s="110"/>
      <c r="U61" s="111">
        <f>IF(AND(S61=1,R25),1,0)</f>
        <v>0</v>
      </c>
      <c r="V61" s="111" t="str">
        <f>IF(W61&lt;&gt;0,"M","")</f>
        <v/>
      </c>
      <c r="W61" s="181">
        <f>IF(Q61*U61,1,0)</f>
        <v>0</v>
      </c>
      <c r="X61" s="206" t="str">
        <f>IF(W61=2,1,"")</f>
        <v/>
      </c>
      <c r="Y61" s="299" t="str">
        <f>IF(W61=1,1,"")</f>
        <v/>
      </c>
    </row>
    <row r="62" spans="1:26" ht="0.6" hidden="1" customHeight="1" x14ac:dyDescent="0.25">
      <c r="A62" s="5"/>
      <c r="B62" s="220">
        <v>21</v>
      </c>
      <c r="C62" s="256" t="s">
        <v>52</v>
      </c>
      <c r="D62" s="324" t="s">
        <v>146</v>
      </c>
      <c r="E62" s="324"/>
      <c r="F62" s="121" t="str">
        <f t="shared" si="16"/>
        <v/>
      </c>
      <c r="G62" s="99" t="str">
        <f>X62</f>
        <v/>
      </c>
      <c r="H62" s="248" t="str">
        <f t="shared" si="18"/>
        <v/>
      </c>
      <c r="I62" s="247"/>
      <c r="J62" s="44"/>
      <c r="K62" s="44"/>
      <c r="L62" s="366" t="str">
        <f>IF(AND($V15="A",$Q62=FALSE),"Modulis privalomas A kursui",IF(AND(S62=1,NOT(R15)),"Turite pasirinkti LIETUVIŲ K. A kursą",""))</f>
        <v/>
      </c>
      <c r="M62" s="366"/>
      <c r="N62" s="366"/>
      <c r="O62" s="119"/>
      <c r="P62" s="281" t="str">
        <f t="shared" si="17"/>
        <v>Kultūrinis (literatūrinis) raštingumas</v>
      </c>
      <c r="Q62" s="177" t="b">
        <v>0</v>
      </c>
      <c r="R62" s="110"/>
      <c r="S62" s="84">
        <f t="shared" si="19"/>
        <v>0</v>
      </c>
      <c r="T62" s="110"/>
      <c r="U62" s="111">
        <f>IF(AND(S62=1,R15),1,0)</f>
        <v>0</v>
      </c>
      <c r="V62" s="111" t="str">
        <f t="shared" si="20"/>
        <v/>
      </c>
      <c r="W62" s="84">
        <f>IF(Q62*U62,2,0)</f>
        <v>0</v>
      </c>
      <c r="X62" s="181" t="str">
        <f>IF(W62=2,1,"")</f>
        <v/>
      </c>
      <c r="Y62" s="300" t="str">
        <f>IF(W62=2,1,"")</f>
        <v/>
      </c>
      <c r="Z62" s="103"/>
    </row>
    <row r="63" spans="1:26" ht="40.200000000000003" customHeight="1" x14ac:dyDescent="0.25">
      <c r="B63" s="203"/>
    </row>
    <row r="64" spans="1:26" ht="9" customHeight="1" x14ac:dyDescent="0.25"/>
    <row r="65" spans="1:25" ht="16.8" hidden="1" customHeight="1" x14ac:dyDescent="0.25"/>
    <row r="66" spans="1:25" ht="19.8" hidden="1" customHeight="1" x14ac:dyDescent="0.25"/>
    <row r="67" spans="1:25" ht="21" hidden="1" customHeight="1" x14ac:dyDescent="0.25">
      <c r="P67" s="125"/>
      <c r="Q67" s="4"/>
      <c r="U67" s="130"/>
      <c r="V67" s="125"/>
      <c r="W67" s="118"/>
      <c r="X67" s="118"/>
      <c r="Y67" s="118"/>
    </row>
    <row r="68" spans="1:25" s="36" customFormat="1" ht="23.1" customHeight="1" x14ac:dyDescent="0.25">
      <c r="C68" s="131" t="s">
        <v>0</v>
      </c>
      <c r="D68" s="132">
        <f>COUNTIF(V13:V48,"B")+COUNTIF(V13:V48,"A")+COUNTIF(V13:V48,"P")+COUNTIF(V13:V48,"A1")+COUNTIF(V13:V48,"B1")+COUNTIF(V13:V48,"B2")</f>
        <v>0</v>
      </c>
      <c r="E68" s="133" t="str">
        <f>IF((D68&gt;7),"","Dalykų turi būti ne mažiau kaip 8")</f>
        <v>Dalykų turi būti ne mažiau kaip 8</v>
      </c>
      <c r="F68" s="134"/>
      <c r="G68" s="134"/>
      <c r="H68" s="134"/>
      <c r="I68" s="134"/>
      <c r="J68" s="134"/>
      <c r="K68" s="135"/>
      <c r="L68" s="134"/>
      <c r="M68" s="136"/>
      <c r="N68" s="136"/>
      <c r="O68" s="136"/>
    </row>
    <row r="69" spans="1:25" s="36" customFormat="1" ht="9" customHeight="1" x14ac:dyDescent="0.25">
      <c r="C69" s="137"/>
      <c r="D69" s="4"/>
      <c r="E69" s="138"/>
      <c r="G69" s="139"/>
      <c r="H69" s="139"/>
      <c r="I69" s="139"/>
      <c r="J69" s="140"/>
      <c r="K69" s="141"/>
      <c r="L69" s="134"/>
      <c r="M69" s="136"/>
      <c r="N69" s="136"/>
      <c r="O69" s="136"/>
    </row>
    <row r="70" spans="1:25" s="36" customFormat="1" ht="23.1" customHeight="1" x14ac:dyDescent="0.25">
      <c r="A70" s="381" t="s">
        <v>53</v>
      </c>
      <c r="B70" s="381"/>
      <c r="C70" s="381"/>
      <c r="D70" s="132">
        <f>SUM(G13:G62)</f>
        <v>0</v>
      </c>
      <c r="E70" s="134" t="str">
        <f>IF((D70&lt;=34)*(D70&gt;=28),"","Pamokų turi būti ne mažiau kaip 28 ir ne daugiau kaip 34")</f>
        <v>Pamokų turi būti ne mažiau kaip 28 ir ne daugiau kaip 34</v>
      </c>
      <c r="G70" s="142"/>
      <c r="H70" s="142"/>
      <c r="I70" s="142"/>
      <c r="J70" s="140"/>
      <c r="K70" s="141"/>
      <c r="L70" s="134"/>
      <c r="M70" s="136"/>
      <c r="N70" s="136"/>
      <c r="O70" s="136"/>
    </row>
    <row r="71" spans="1:25" s="36" customFormat="1" ht="6.75" customHeight="1" x14ac:dyDescent="0.25">
      <c r="C71" s="137"/>
      <c r="D71" s="4"/>
      <c r="E71" s="138"/>
      <c r="G71" s="139"/>
      <c r="H71" s="139"/>
      <c r="I71" s="139"/>
      <c r="J71" s="140"/>
      <c r="K71" s="141"/>
      <c r="L71" s="134"/>
      <c r="M71" s="136"/>
      <c r="N71" s="136"/>
      <c r="O71" s="136"/>
    </row>
    <row r="72" spans="1:25" s="36" customFormat="1" ht="23.1" customHeight="1" x14ac:dyDescent="0.25">
      <c r="A72" s="381" t="s">
        <v>54</v>
      </c>
      <c r="B72" s="381"/>
      <c r="C72" s="381"/>
      <c r="D72" s="132">
        <f>SUM(H13:H62)</f>
        <v>0</v>
      </c>
      <c r="E72" s="134" t="str">
        <f>IF((D72&lt;=34)*(D72&gt;=28),"","Pamokų turi būti ne mažiau kaip 28 ir ne daugiau kaip 34")</f>
        <v>Pamokų turi būti ne mažiau kaip 28 ir ne daugiau kaip 34</v>
      </c>
      <c r="G72" s="142"/>
      <c r="H72" s="142"/>
      <c r="I72" s="142"/>
      <c r="J72" s="140"/>
      <c r="K72" s="141"/>
      <c r="L72" s="134"/>
      <c r="M72" s="136"/>
      <c r="N72" s="136"/>
      <c r="O72" s="136"/>
    </row>
    <row r="73" spans="1:25" s="36" customFormat="1" ht="6.75" customHeight="1" x14ac:dyDescent="0.25">
      <c r="C73" s="137"/>
      <c r="D73" s="4"/>
      <c r="E73" s="139"/>
      <c r="G73" s="139"/>
      <c r="H73" s="139"/>
      <c r="I73" s="139"/>
      <c r="J73" s="140"/>
      <c r="K73" s="141"/>
      <c r="L73" s="134"/>
      <c r="M73" s="136"/>
      <c r="N73" s="136"/>
      <c r="O73" s="136"/>
    </row>
    <row r="74" spans="1:25" s="36" customFormat="1" ht="12.75" customHeight="1" x14ac:dyDescent="0.25">
      <c r="C74" s="131" t="s">
        <v>55</v>
      </c>
      <c r="D74" s="132">
        <f>COUNTIF(V13:V48,"A")</f>
        <v>0</v>
      </c>
      <c r="E74" s="139"/>
      <c r="G74" s="139"/>
      <c r="H74" s="143"/>
      <c r="I74" s="139"/>
      <c r="J74" s="142"/>
      <c r="K74" s="144"/>
      <c r="L74" s="134"/>
      <c r="M74" s="136"/>
      <c r="N74" s="136"/>
      <c r="O74" s="136"/>
    </row>
    <row r="75" spans="1:25" s="36" customFormat="1" ht="6.75" customHeight="1" x14ac:dyDescent="0.25">
      <c r="C75" s="137"/>
      <c r="D75" s="4"/>
      <c r="E75" s="139"/>
      <c r="G75" s="139"/>
      <c r="H75" s="139"/>
      <c r="I75" s="139"/>
      <c r="J75" s="140"/>
      <c r="K75" s="141"/>
      <c r="L75" s="134"/>
      <c r="M75" s="136"/>
      <c r="N75" s="136"/>
      <c r="O75" s="136"/>
    </row>
    <row r="76" spans="1:25" s="36" customFormat="1" ht="12.75" customHeight="1" x14ac:dyDescent="0.25">
      <c r="C76" s="131" t="s">
        <v>56</v>
      </c>
      <c r="D76" s="132">
        <f>COUNTIF(V13:V48,"B")</f>
        <v>0</v>
      </c>
      <c r="E76" s="139"/>
      <c r="G76" s="139"/>
      <c r="H76" s="143"/>
      <c r="I76" s="139"/>
      <c r="J76" s="142"/>
      <c r="K76" s="144"/>
      <c r="L76" s="134"/>
      <c r="M76" s="136"/>
      <c r="N76" s="136"/>
      <c r="O76" s="136"/>
    </row>
    <row r="77" spans="1:25" ht="15" customHeight="1" x14ac:dyDescent="0.25">
      <c r="C77" s="145"/>
      <c r="D77" s="146"/>
      <c r="E77" s="147"/>
      <c r="G77" s="147"/>
      <c r="H77" s="148"/>
      <c r="I77" s="147"/>
      <c r="J77" s="149"/>
      <c r="K77" s="150"/>
      <c r="P77" s="4"/>
      <c r="Q77" s="4"/>
    </row>
    <row r="78" spans="1:25" ht="15" customHeight="1" x14ac:dyDescent="0.25">
      <c r="C78" s="145"/>
      <c r="D78" s="146"/>
      <c r="E78" s="147"/>
      <c r="G78" s="147"/>
      <c r="H78" s="148"/>
      <c r="I78" s="147"/>
      <c r="J78" s="149"/>
      <c r="K78" s="150"/>
      <c r="P78" s="4"/>
      <c r="Q78" s="4"/>
    </row>
    <row r="79" spans="1:25" x14ac:dyDescent="0.25">
      <c r="C79" s="151">
        <f ca="1">TODAY()</f>
        <v>44299</v>
      </c>
      <c r="F79" s="103"/>
      <c r="G79" s="382"/>
      <c r="H79" s="382"/>
      <c r="I79" s="382"/>
      <c r="J79" s="382"/>
      <c r="K79" s="119"/>
      <c r="O79" s="125"/>
      <c r="P79" s="4"/>
      <c r="Q79" s="4"/>
    </row>
    <row r="80" spans="1:25" x14ac:dyDescent="0.25">
      <c r="C80" s="118" t="s">
        <v>57</v>
      </c>
      <c r="E80" s="152" t="s">
        <v>58</v>
      </c>
      <c r="F80" s="103"/>
      <c r="G80" s="383" t="s">
        <v>59</v>
      </c>
      <c r="H80" s="383"/>
      <c r="I80" s="383"/>
      <c r="J80" s="383"/>
      <c r="K80" s="119"/>
      <c r="O80" s="125"/>
      <c r="P80" s="4"/>
      <c r="Q80" s="4"/>
    </row>
    <row r="81" spans="1:17" ht="13.2" x14ac:dyDescent="0.25">
      <c r="B81" s="153"/>
      <c r="C81" s="153"/>
      <c r="D81" s="153"/>
      <c r="E81" s="153"/>
      <c r="F81" s="153"/>
      <c r="G81" s="153"/>
      <c r="H81" s="153"/>
      <c r="I81" s="153"/>
      <c r="J81" s="153"/>
      <c r="K81" s="154"/>
      <c r="L81" s="155"/>
      <c r="M81" s="155"/>
      <c r="N81" s="155"/>
      <c r="O81" s="155"/>
      <c r="P81" s="125"/>
      <c r="Q81" s="4"/>
    </row>
    <row r="82" spans="1:17" ht="13.8" thickTop="1" x14ac:dyDescent="0.25">
      <c r="A82" s="379" t="s">
        <v>154</v>
      </c>
      <c r="B82" s="379"/>
      <c r="C82" s="379"/>
      <c r="D82" s="379"/>
      <c r="E82" s="379"/>
      <c r="F82" s="379"/>
      <c r="G82" s="379"/>
      <c r="H82" s="379"/>
      <c r="I82" s="379"/>
      <c r="J82" s="379"/>
      <c r="K82" s="156"/>
      <c r="L82" s="155"/>
      <c r="M82" s="157"/>
      <c r="N82" s="157"/>
      <c r="O82" s="157"/>
      <c r="P82" s="125"/>
      <c r="Q82" s="4"/>
    </row>
    <row r="83" spans="1:17" hidden="1" x14ac:dyDescent="0.25">
      <c r="P83" s="125"/>
      <c r="Q83" s="4"/>
    </row>
    <row r="84" spans="1:17" hidden="1" x14ac:dyDescent="0.25">
      <c r="P84" s="125"/>
      <c r="Q84" s="4"/>
    </row>
    <row r="85" spans="1:17" hidden="1" x14ac:dyDescent="0.25">
      <c r="P85" s="125"/>
      <c r="Q85" s="4"/>
    </row>
    <row r="86" spans="1:17" hidden="1" x14ac:dyDescent="0.25">
      <c r="P86" s="125"/>
      <c r="Q86" s="4"/>
    </row>
    <row r="87" spans="1:17" hidden="1" x14ac:dyDescent="0.25">
      <c r="P87" s="125"/>
      <c r="Q87" s="4"/>
    </row>
    <row r="88" spans="1:17" hidden="1" x14ac:dyDescent="0.25">
      <c r="P88" s="125"/>
      <c r="Q88" s="4"/>
    </row>
    <row r="89" spans="1:17" hidden="1" x14ac:dyDescent="0.25">
      <c r="P89" s="125"/>
      <c r="Q89" s="4"/>
    </row>
    <row r="90" spans="1:17" hidden="1" x14ac:dyDescent="0.25">
      <c r="P90" s="125"/>
      <c r="Q90" s="4"/>
    </row>
    <row r="91" spans="1:17" hidden="1" x14ac:dyDescent="0.25">
      <c r="P91" s="125"/>
      <c r="Q91" s="4"/>
    </row>
    <row r="92" spans="1:17" hidden="1" x14ac:dyDescent="0.25">
      <c r="P92" s="125"/>
      <c r="Q92" s="4"/>
    </row>
    <row r="93" spans="1:17" hidden="1" x14ac:dyDescent="0.25">
      <c r="P93" s="125"/>
      <c r="Q93" s="4"/>
    </row>
    <row r="94" spans="1:17" hidden="1" x14ac:dyDescent="0.25">
      <c r="P94" s="125"/>
      <c r="Q94" s="4"/>
    </row>
    <row r="95" spans="1:17" hidden="1" x14ac:dyDescent="0.25">
      <c r="P95" s="125"/>
      <c r="Q95" s="4"/>
    </row>
    <row r="96" spans="1:17" hidden="1" x14ac:dyDescent="0.25">
      <c r="P96" s="125"/>
      <c r="Q96" s="4"/>
    </row>
    <row r="97" spans="16:17" hidden="1" x14ac:dyDescent="0.25">
      <c r="P97" s="125"/>
      <c r="Q97" s="4"/>
    </row>
    <row r="98" spans="16:17" hidden="1" x14ac:dyDescent="0.25">
      <c r="P98" s="125"/>
      <c r="Q98" s="4"/>
    </row>
    <row r="99" spans="16:17" hidden="1" x14ac:dyDescent="0.25">
      <c r="P99" s="125"/>
      <c r="Q99" s="4"/>
    </row>
    <row r="100" spans="16:17" hidden="1" x14ac:dyDescent="0.25">
      <c r="P100" s="125"/>
      <c r="Q100" s="4"/>
    </row>
    <row r="101" spans="16:17" hidden="1" x14ac:dyDescent="0.25">
      <c r="P101" s="125"/>
      <c r="Q101" s="4"/>
    </row>
    <row r="102" spans="16:17" hidden="1" x14ac:dyDescent="0.25">
      <c r="P102" s="125"/>
      <c r="Q102" s="4"/>
    </row>
    <row r="103" spans="16:17" hidden="1" x14ac:dyDescent="0.25">
      <c r="P103" s="125"/>
      <c r="Q103" s="4"/>
    </row>
    <row r="104" spans="16:17" hidden="1" x14ac:dyDescent="0.25">
      <c r="P104" s="125"/>
      <c r="Q104" s="4"/>
    </row>
    <row r="105" spans="16:17" hidden="1" x14ac:dyDescent="0.25">
      <c r="P105" s="125"/>
      <c r="Q105" s="4"/>
    </row>
    <row r="106" spans="16:17" hidden="1" x14ac:dyDescent="0.25">
      <c r="P106" s="125"/>
      <c r="Q106" s="4"/>
    </row>
    <row r="107" spans="16:17" hidden="1" x14ac:dyDescent="0.25">
      <c r="P107" s="125"/>
      <c r="Q107" s="4"/>
    </row>
    <row r="108" spans="16:17" hidden="1" x14ac:dyDescent="0.25">
      <c r="P108" s="125"/>
      <c r="Q108" s="4"/>
    </row>
    <row r="109" spans="16:17" hidden="1" x14ac:dyDescent="0.25">
      <c r="P109" s="125"/>
      <c r="Q109" s="4"/>
    </row>
    <row r="110" spans="16:17" hidden="1" x14ac:dyDescent="0.25">
      <c r="P110" s="125"/>
      <c r="Q110" s="4"/>
    </row>
    <row r="111" spans="16:17" hidden="1" x14ac:dyDescent="0.25">
      <c r="P111" s="125"/>
      <c r="Q111" s="4"/>
    </row>
    <row r="112" spans="16:17" hidden="1" x14ac:dyDescent="0.25">
      <c r="P112" s="125"/>
      <c r="Q112" s="4"/>
    </row>
    <row r="113" spans="16:17" hidden="1" x14ac:dyDescent="0.25">
      <c r="P113" s="125"/>
      <c r="Q113" s="4"/>
    </row>
    <row r="114" spans="16:17" hidden="1" x14ac:dyDescent="0.25">
      <c r="P114" s="125"/>
      <c r="Q114" s="4"/>
    </row>
    <row r="115" spans="16:17" hidden="1" x14ac:dyDescent="0.25">
      <c r="P115" s="125"/>
      <c r="Q115" s="4"/>
    </row>
    <row r="116" spans="16:17" hidden="1" x14ac:dyDescent="0.25">
      <c r="P116" s="125"/>
      <c r="Q116" s="4"/>
    </row>
    <row r="117" spans="16:17" hidden="1" x14ac:dyDescent="0.25">
      <c r="P117" s="125"/>
      <c r="Q117" s="4"/>
    </row>
    <row r="118" spans="16:17" hidden="1" x14ac:dyDescent="0.25">
      <c r="P118" s="125"/>
      <c r="Q118" s="4"/>
    </row>
    <row r="119" spans="16:17" hidden="1" x14ac:dyDescent="0.25">
      <c r="P119" s="125"/>
      <c r="Q119" s="4"/>
    </row>
    <row r="120" spans="16:17" hidden="1" x14ac:dyDescent="0.25">
      <c r="P120" s="125"/>
      <c r="Q120" s="4"/>
    </row>
    <row r="121" spans="16:17" hidden="1" x14ac:dyDescent="0.25">
      <c r="P121" s="125"/>
      <c r="Q121" s="4"/>
    </row>
    <row r="122" spans="16:17" hidden="1" x14ac:dyDescent="0.25">
      <c r="P122" s="125"/>
      <c r="Q122" s="4"/>
    </row>
    <row r="123" spans="16:17" hidden="1" x14ac:dyDescent="0.25">
      <c r="P123" s="125"/>
      <c r="Q123" s="4"/>
    </row>
    <row r="124" spans="16:17" hidden="1" x14ac:dyDescent="0.25">
      <c r="P124" s="125"/>
      <c r="Q124" s="4"/>
    </row>
    <row r="125" spans="16:17" hidden="1" x14ac:dyDescent="0.25">
      <c r="P125" s="125"/>
      <c r="Q125" s="4"/>
    </row>
    <row r="126" spans="16:17" hidden="1" x14ac:dyDescent="0.25">
      <c r="P126" s="125"/>
      <c r="Q126" s="4"/>
    </row>
    <row r="127" spans="16:17" hidden="1" x14ac:dyDescent="0.25">
      <c r="P127" s="125"/>
      <c r="Q127" s="4"/>
    </row>
    <row r="128" spans="16:17" hidden="1" x14ac:dyDescent="0.25">
      <c r="P128" s="125"/>
      <c r="Q128" s="4"/>
    </row>
    <row r="129" spans="16:17" hidden="1" x14ac:dyDescent="0.25">
      <c r="P129" s="125"/>
      <c r="Q129" s="4"/>
    </row>
    <row r="130" spans="16:17" hidden="1" x14ac:dyDescent="0.25">
      <c r="P130" s="125"/>
      <c r="Q130" s="4"/>
    </row>
    <row r="131" spans="16:17" hidden="1" x14ac:dyDescent="0.25">
      <c r="P131" s="125"/>
      <c r="Q131" s="4"/>
    </row>
    <row r="132" spans="16:17" hidden="1" x14ac:dyDescent="0.25">
      <c r="P132" s="125"/>
      <c r="Q132" s="4"/>
    </row>
    <row r="133" spans="16:17" hidden="1" x14ac:dyDescent="0.25">
      <c r="P133" s="125"/>
      <c r="Q133" s="4"/>
    </row>
    <row r="134" spans="16:17" hidden="1" x14ac:dyDescent="0.25">
      <c r="P134" s="125"/>
      <c r="Q134" s="4"/>
    </row>
    <row r="135" spans="16:17" hidden="1" x14ac:dyDescent="0.25">
      <c r="P135" s="125"/>
      <c r="Q135" s="4"/>
    </row>
    <row r="136" spans="16:17" hidden="1" x14ac:dyDescent="0.25">
      <c r="P136" s="125"/>
      <c r="Q136" s="4"/>
    </row>
    <row r="137" spans="16:17" hidden="1" x14ac:dyDescent="0.25">
      <c r="P137" s="125"/>
      <c r="Q137" s="4"/>
    </row>
    <row r="138" spans="16:17" hidden="1" x14ac:dyDescent="0.25">
      <c r="P138" s="125"/>
      <c r="Q138" s="4"/>
    </row>
    <row r="139" spans="16:17" hidden="1" x14ac:dyDescent="0.25">
      <c r="P139" s="125"/>
      <c r="Q139" s="4"/>
    </row>
    <row r="140" spans="16:17" hidden="1" x14ac:dyDescent="0.25">
      <c r="P140" s="125"/>
      <c r="Q140" s="4"/>
    </row>
    <row r="141" spans="16:17" hidden="1" x14ac:dyDescent="0.25">
      <c r="P141" s="125"/>
      <c r="Q141" s="4"/>
    </row>
    <row r="142" spans="16:17" hidden="1" x14ac:dyDescent="0.25">
      <c r="P142" s="125"/>
      <c r="Q142" s="4"/>
    </row>
    <row r="143" spans="16:17" hidden="1" x14ac:dyDescent="0.25">
      <c r="P143" s="125"/>
      <c r="Q143" s="4"/>
    </row>
    <row r="144" spans="16:17" hidden="1" x14ac:dyDescent="0.25">
      <c r="P144" s="125"/>
      <c r="Q144" s="4"/>
    </row>
    <row r="145" spans="16:17" hidden="1" x14ac:dyDescent="0.25">
      <c r="P145" s="125"/>
      <c r="Q145" s="4"/>
    </row>
    <row r="146" spans="16:17" hidden="1" x14ac:dyDescent="0.25">
      <c r="P146" s="125"/>
      <c r="Q146" s="4"/>
    </row>
    <row r="147" spans="16:17" hidden="1" x14ac:dyDescent="0.25">
      <c r="P147" s="125"/>
      <c r="Q147" s="4"/>
    </row>
    <row r="148" spans="16:17" hidden="1" x14ac:dyDescent="0.25">
      <c r="P148" s="125"/>
      <c r="Q148" s="4"/>
    </row>
    <row r="149" spans="16:17" hidden="1" x14ac:dyDescent="0.25">
      <c r="P149" s="125"/>
      <c r="Q149" s="4"/>
    </row>
    <row r="150" spans="16:17" hidden="1" x14ac:dyDescent="0.25">
      <c r="P150" s="125"/>
      <c r="Q150" s="4"/>
    </row>
    <row r="151" spans="16:17" hidden="1" x14ac:dyDescent="0.25">
      <c r="P151" s="125"/>
      <c r="Q151" s="4"/>
    </row>
    <row r="152" spans="16:17" hidden="1" x14ac:dyDescent="0.25">
      <c r="P152" s="125"/>
      <c r="Q152" s="4"/>
    </row>
    <row r="153" spans="16:17" hidden="1" x14ac:dyDescent="0.25">
      <c r="P153" s="125"/>
      <c r="Q153" s="4"/>
    </row>
    <row r="154" spans="16:17" hidden="1" x14ac:dyDescent="0.25">
      <c r="P154" s="125"/>
      <c r="Q154" s="4"/>
    </row>
    <row r="155" spans="16:17" hidden="1" x14ac:dyDescent="0.25">
      <c r="P155" s="125"/>
      <c r="Q155" s="4"/>
    </row>
    <row r="156" spans="16:17" hidden="1" x14ac:dyDescent="0.25">
      <c r="P156" s="125"/>
      <c r="Q156" s="4"/>
    </row>
    <row r="157" spans="16:17" hidden="1" x14ac:dyDescent="0.25">
      <c r="P157" s="125"/>
      <c r="Q157" s="4"/>
    </row>
    <row r="158" spans="16:17" hidden="1" x14ac:dyDescent="0.25">
      <c r="P158" s="125"/>
      <c r="Q158" s="4"/>
    </row>
    <row r="159" spans="16:17" hidden="1" x14ac:dyDescent="0.25">
      <c r="P159" s="125"/>
      <c r="Q159" s="4"/>
    </row>
    <row r="160" spans="16:17" hidden="1" x14ac:dyDescent="0.25">
      <c r="P160" s="125"/>
      <c r="Q160" s="4"/>
    </row>
    <row r="161" spans="16:17" hidden="1" x14ac:dyDescent="0.25">
      <c r="P161" s="125"/>
      <c r="Q161" s="4"/>
    </row>
    <row r="162" spans="16:17" hidden="1" x14ac:dyDescent="0.25">
      <c r="P162" s="125"/>
      <c r="Q162" s="4"/>
    </row>
    <row r="163" spans="16:17" hidden="1" x14ac:dyDescent="0.25">
      <c r="P163" s="125"/>
      <c r="Q163" s="4"/>
    </row>
    <row r="164" spans="16:17" hidden="1" x14ac:dyDescent="0.25">
      <c r="P164" s="125"/>
      <c r="Q164" s="4"/>
    </row>
    <row r="165" spans="16:17" hidden="1" x14ac:dyDescent="0.25">
      <c r="P165" s="125"/>
      <c r="Q165" s="4"/>
    </row>
    <row r="166" spans="16:17" hidden="1" x14ac:dyDescent="0.25">
      <c r="P166" s="125"/>
      <c r="Q166" s="4"/>
    </row>
    <row r="167" spans="16:17" hidden="1" x14ac:dyDescent="0.25">
      <c r="P167" s="125"/>
      <c r="Q167" s="4"/>
    </row>
    <row r="168" spans="16:17" hidden="1" x14ac:dyDescent="0.25">
      <c r="P168" s="125"/>
      <c r="Q168" s="4"/>
    </row>
    <row r="169" spans="16:17" hidden="1" x14ac:dyDescent="0.25">
      <c r="P169" s="125"/>
      <c r="Q169" s="4"/>
    </row>
    <row r="170" spans="16:17" hidden="1" x14ac:dyDescent="0.25">
      <c r="P170" s="125"/>
      <c r="Q170" s="4"/>
    </row>
    <row r="171" spans="16:17" hidden="1" x14ac:dyDescent="0.25">
      <c r="P171" s="125"/>
      <c r="Q171" s="4"/>
    </row>
    <row r="172" spans="16:17" hidden="1" x14ac:dyDescent="0.25">
      <c r="P172" s="125"/>
      <c r="Q172" s="4"/>
    </row>
    <row r="173" spans="16:17" hidden="1" x14ac:dyDescent="0.25">
      <c r="P173" s="125"/>
      <c r="Q173" s="4"/>
    </row>
    <row r="174" spans="16:17" hidden="1" x14ac:dyDescent="0.25">
      <c r="P174" s="125"/>
      <c r="Q174" s="4"/>
    </row>
    <row r="175" spans="16:17" hidden="1" x14ac:dyDescent="0.25">
      <c r="P175" s="125"/>
      <c r="Q175" s="4"/>
    </row>
    <row r="176" spans="16:17" hidden="1" x14ac:dyDescent="0.25">
      <c r="P176" s="125"/>
      <c r="Q176" s="4"/>
    </row>
    <row r="177" spans="16:17" hidden="1" x14ac:dyDescent="0.25">
      <c r="P177" s="125"/>
      <c r="Q177" s="4"/>
    </row>
    <row r="178" spans="16:17" hidden="1" x14ac:dyDescent="0.25">
      <c r="P178" s="125"/>
      <c r="Q178" s="4"/>
    </row>
    <row r="179" spans="16:17" hidden="1" x14ac:dyDescent="0.25">
      <c r="P179" s="125"/>
      <c r="Q179" s="4"/>
    </row>
    <row r="180" spans="16:17" hidden="1" x14ac:dyDescent="0.25">
      <c r="P180" s="125"/>
      <c r="Q180" s="4"/>
    </row>
    <row r="181" spans="16:17" hidden="1" x14ac:dyDescent="0.25">
      <c r="P181" s="125"/>
      <c r="Q181" s="4"/>
    </row>
    <row r="182" spans="16:17" hidden="1" x14ac:dyDescent="0.25">
      <c r="P182" s="125"/>
      <c r="Q182" s="4"/>
    </row>
    <row r="183" spans="16:17" hidden="1" x14ac:dyDescent="0.25">
      <c r="P183" s="125"/>
      <c r="Q183" s="4"/>
    </row>
    <row r="184" spans="16:17" hidden="1" x14ac:dyDescent="0.25">
      <c r="P184" s="125"/>
      <c r="Q184" s="4"/>
    </row>
    <row r="185" spans="16:17" hidden="1" x14ac:dyDescent="0.25">
      <c r="P185" s="125"/>
      <c r="Q185" s="4"/>
    </row>
    <row r="186" spans="16:17" hidden="1" x14ac:dyDescent="0.25">
      <c r="P186" s="125"/>
      <c r="Q186" s="4"/>
    </row>
    <row r="187" spans="16:17" hidden="1" x14ac:dyDescent="0.25">
      <c r="P187" s="125"/>
      <c r="Q187" s="4"/>
    </row>
    <row r="188" spans="16:17" hidden="1" x14ac:dyDescent="0.25">
      <c r="P188" s="125"/>
      <c r="Q188" s="4"/>
    </row>
    <row r="189" spans="16:17" hidden="1" x14ac:dyDescent="0.25">
      <c r="P189" s="125"/>
      <c r="Q189" s="4"/>
    </row>
    <row r="190" spans="16:17" hidden="1" x14ac:dyDescent="0.25">
      <c r="P190" s="125"/>
      <c r="Q190" s="4"/>
    </row>
    <row r="191" spans="16:17" hidden="1" x14ac:dyDescent="0.25">
      <c r="P191" s="125"/>
      <c r="Q191" s="4"/>
    </row>
    <row r="192" spans="16:17" hidden="1" x14ac:dyDescent="0.25">
      <c r="P192" s="125"/>
      <c r="Q192" s="4"/>
    </row>
    <row r="193" spans="16:17" hidden="1" x14ac:dyDescent="0.25">
      <c r="P193" s="125"/>
      <c r="Q193" s="4"/>
    </row>
    <row r="194" spans="16:17" hidden="1" x14ac:dyDescent="0.25">
      <c r="P194" s="125"/>
      <c r="Q194" s="4"/>
    </row>
    <row r="195" spans="16:17" hidden="1" x14ac:dyDescent="0.25">
      <c r="P195" s="125"/>
      <c r="Q195" s="4"/>
    </row>
    <row r="196" spans="16:17" hidden="1" x14ac:dyDescent="0.25">
      <c r="P196" s="125"/>
      <c r="Q196" s="4"/>
    </row>
    <row r="197" spans="16:17" hidden="1" x14ac:dyDescent="0.25">
      <c r="P197" s="125"/>
      <c r="Q197" s="4"/>
    </row>
    <row r="198" spans="16:17" hidden="1" x14ac:dyDescent="0.25">
      <c r="P198" s="125"/>
      <c r="Q198" s="4"/>
    </row>
    <row r="199" spans="16:17" hidden="1" x14ac:dyDescent="0.25">
      <c r="P199" s="125"/>
      <c r="Q199" s="4"/>
    </row>
    <row r="200" spans="16:17" hidden="1" x14ac:dyDescent="0.25">
      <c r="P200" s="125"/>
      <c r="Q200" s="4"/>
    </row>
    <row r="201" spans="16:17" hidden="1" x14ac:dyDescent="0.25">
      <c r="P201" s="125"/>
      <c r="Q201" s="4"/>
    </row>
    <row r="202" spans="16:17" hidden="1" x14ac:dyDescent="0.25">
      <c r="P202" s="125"/>
      <c r="Q202" s="4"/>
    </row>
    <row r="203" spans="16:17" hidden="1" x14ac:dyDescent="0.25">
      <c r="P203" s="125"/>
      <c r="Q203" s="4"/>
    </row>
    <row r="204" spans="16:17" hidden="1" x14ac:dyDescent="0.25">
      <c r="P204" s="125"/>
      <c r="Q204" s="4"/>
    </row>
    <row r="205" spans="16:17" hidden="1" x14ac:dyDescent="0.25">
      <c r="P205" s="125"/>
      <c r="Q205" s="4"/>
    </row>
    <row r="206" spans="16:17" hidden="1" x14ac:dyDescent="0.25">
      <c r="P206" s="125"/>
      <c r="Q206" s="4"/>
    </row>
    <row r="207" spans="16:17" hidden="1" x14ac:dyDescent="0.25">
      <c r="P207" s="125"/>
      <c r="Q207" s="4"/>
    </row>
    <row r="208" spans="16:17" hidden="1" x14ac:dyDescent="0.25">
      <c r="P208" s="125"/>
      <c r="Q208" s="4"/>
    </row>
    <row r="209" spans="16:17" hidden="1" x14ac:dyDescent="0.25">
      <c r="P209" s="125"/>
      <c r="Q209" s="4"/>
    </row>
    <row r="210" spans="16:17" hidden="1" x14ac:dyDescent="0.25">
      <c r="P210" s="125"/>
      <c r="Q210" s="4"/>
    </row>
    <row r="211" spans="16:17" hidden="1" x14ac:dyDescent="0.25">
      <c r="P211" s="125"/>
      <c r="Q211" s="4"/>
    </row>
    <row r="212" spans="16:17" hidden="1" x14ac:dyDescent="0.25">
      <c r="P212" s="125"/>
      <c r="Q212" s="4"/>
    </row>
    <row r="213" spans="16:17" hidden="1" x14ac:dyDescent="0.25">
      <c r="P213" s="125"/>
      <c r="Q213" s="4"/>
    </row>
    <row r="214" spans="16:17" hidden="1" x14ac:dyDescent="0.25">
      <c r="P214" s="125"/>
      <c r="Q214" s="4"/>
    </row>
    <row r="215" spans="16:17" hidden="1" x14ac:dyDescent="0.25">
      <c r="P215" s="125"/>
      <c r="Q215" s="4"/>
    </row>
    <row r="216" spans="16:17" hidden="1" x14ac:dyDescent="0.25">
      <c r="P216" s="125"/>
      <c r="Q216" s="4"/>
    </row>
    <row r="217" spans="16:17" hidden="1" x14ac:dyDescent="0.25">
      <c r="P217" s="125"/>
      <c r="Q217" s="4"/>
    </row>
    <row r="218" spans="16:17" hidden="1" x14ac:dyDescent="0.25">
      <c r="P218" s="125"/>
      <c r="Q218" s="4"/>
    </row>
    <row r="219" spans="16:17" hidden="1" x14ac:dyDescent="0.25">
      <c r="P219" s="125"/>
      <c r="Q219" s="4"/>
    </row>
    <row r="220" spans="16:17" hidden="1" x14ac:dyDescent="0.25">
      <c r="P220" s="125"/>
      <c r="Q220" s="4"/>
    </row>
    <row r="221" spans="16:17" hidden="1" x14ac:dyDescent="0.25">
      <c r="P221" s="125"/>
      <c r="Q221" s="4"/>
    </row>
    <row r="222" spans="16:17" hidden="1" x14ac:dyDescent="0.25">
      <c r="P222" s="125"/>
      <c r="Q222" s="4"/>
    </row>
    <row r="223" spans="16:17" hidden="1" x14ac:dyDescent="0.25">
      <c r="P223" s="125"/>
      <c r="Q223" s="4"/>
    </row>
    <row r="224" spans="16:17" hidden="1" x14ac:dyDescent="0.25">
      <c r="P224" s="125"/>
      <c r="Q224" s="4"/>
    </row>
    <row r="225" spans="16:17" hidden="1" x14ac:dyDescent="0.25">
      <c r="P225" s="125"/>
      <c r="Q225" s="4"/>
    </row>
    <row r="226" spans="16:17" hidden="1" x14ac:dyDescent="0.25">
      <c r="P226" s="125"/>
      <c r="Q226" s="4"/>
    </row>
    <row r="227" spans="16:17" hidden="1" x14ac:dyDescent="0.25">
      <c r="P227" s="125"/>
      <c r="Q227" s="4"/>
    </row>
    <row r="228" spans="16:17" hidden="1" x14ac:dyDescent="0.25">
      <c r="P228" s="125"/>
      <c r="Q228" s="4"/>
    </row>
    <row r="229" spans="16:17" hidden="1" x14ac:dyDescent="0.25">
      <c r="P229" s="125"/>
      <c r="Q229" s="4"/>
    </row>
    <row r="230" spans="16:17" hidden="1" x14ac:dyDescent="0.25">
      <c r="P230" s="125"/>
      <c r="Q230" s="4"/>
    </row>
    <row r="231" spans="16:17" hidden="1" x14ac:dyDescent="0.25">
      <c r="P231" s="125"/>
      <c r="Q231" s="4"/>
    </row>
    <row r="232" spans="16:17" hidden="1" x14ac:dyDescent="0.25">
      <c r="P232" s="125"/>
      <c r="Q232" s="4"/>
    </row>
    <row r="233" spans="16:17" hidden="1" x14ac:dyDescent="0.25">
      <c r="P233" s="125"/>
      <c r="Q233" s="4"/>
    </row>
    <row r="234" spans="16:17" hidden="1" x14ac:dyDescent="0.25">
      <c r="P234" s="125"/>
      <c r="Q234" s="4"/>
    </row>
    <row r="235" spans="16:17" hidden="1" x14ac:dyDescent="0.25">
      <c r="P235" s="125"/>
      <c r="Q235" s="4"/>
    </row>
    <row r="236" spans="16:17" hidden="1" x14ac:dyDescent="0.25">
      <c r="P236" s="125"/>
      <c r="Q236" s="4"/>
    </row>
    <row r="237" spans="16:17" hidden="1" x14ac:dyDescent="0.25">
      <c r="P237" s="125"/>
      <c r="Q237" s="4"/>
    </row>
    <row r="238" spans="16:17" hidden="1" x14ac:dyDescent="0.25">
      <c r="P238" s="125"/>
      <c r="Q238" s="4"/>
    </row>
    <row r="239" spans="16:17" hidden="1" x14ac:dyDescent="0.25">
      <c r="P239" s="125"/>
      <c r="Q239" s="4"/>
    </row>
    <row r="240" spans="16:17" hidden="1" x14ac:dyDescent="0.25">
      <c r="P240" s="125"/>
      <c r="Q240" s="4"/>
    </row>
    <row r="241" spans="17:17" hidden="1" x14ac:dyDescent="0.25">
      <c r="Q241" s="4"/>
    </row>
    <row r="242" spans="17:17" hidden="1" x14ac:dyDescent="0.25">
      <c r="Q242" s="4"/>
    </row>
    <row r="243" spans="17:17" hidden="1" x14ac:dyDescent="0.25">
      <c r="Q243" s="4"/>
    </row>
    <row r="244" spans="17:17" hidden="1" x14ac:dyDescent="0.25">
      <c r="Q244" s="4"/>
    </row>
    <row r="245" spans="17:17" hidden="1" x14ac:dyDescent="0.25">
      <c r="Q245" s="4"/>
    </row>
    <row r="246" spans="17:17" hidden="1" x14ac:dyDescent="0.25">
      <c r="Q246" s="4"/>
    </row>
    <row r="247" spans="17:17" hidden="1" x14ac:dyDescent="0.25">
      <c r="Q247" s="4"/>
    </row>
    <row r="248" spans="17:17" hidden="1" x14ac:dyDescent="0.25">
      <c r="Q248" s="4"/>
    </row>
    <row r="249" spans="17:17" hidden="1" x14ac:dyDescent="0.25">
      <c r="Q249" s="4"/>
    </row>
    <row r="250" spans="17:17" hidden="1" x14ac:dyDescent="0.25">
      <c r="Q250" s="4"/>
    </row>
    <row r="251" spans="17:17" hidden="1" x14ac:dyDescent="0.25">
      <c r="Q251" s="4"/>
    </row>
    <row r="252" spans="17:17" hidden="1" x14ac:dyDescent="0.25">
      <c r="Q252" s="4"/>
    </row>
    <row r="253" spans="17:17" hidden="1" x14ac:dyDescent="0.25">
      <c r="Q253" s="4"/>
    </row>
    <row r="254" spans="17:17" hidden="1" x14ac:dyDescent="0.25">
      <c r="Q254" s="4"/>
    </row>
    <row r="255" spans="17:17" hidden="1" x14ac:dyDescent="0.25">
      <c r="Q255" s="4"/>
    </row>
    <row r="256" spans="17:17" hidden="1" x14ac:dyDescent="0.25">
      <c r="Q256" s="4"/>
    </row>
    <row r="257" spans="17:17" hidden="1" x14ac:dyDescent="0.25">
      <c r="Q257" s="4"/>
    </row>
    <row r="258" spans="17:17" hidden="1" x14ac:dyDescent="0.25">
      <c r="Q258" s="4"/>
    </row>
    <row r="259" spans="17:17" hidden="1" x14ac:dyDescent="0.25">
      <c r="Q259" s="4"/>
    </row>
    <row r="260" spans="17:17" hidden="1" x14ac:dyDescent="0.25">
      <c r="Q260" s="4"/>
    </row>
    <row r="261" spans="17:17" hidden="1" x14ac:dyDescent="0.25">
      <c r="Q261" s="4"/>
    </row>
    <row r="262" spans="17:17" x14ac:dyDescent="0.25">
      <c r="Q262" s="4"/>
    </row>
    <row r="263" spans="17:17" x14ac:dyDescent="0.25">
      <c r="Q263" s="4"/>
    </row>
    <row r="264" spans="17:17" x14ac:dyDescent="0.25">
      <c r="Q264" s="4"/>
    </row>
    <row r="265" spans="17:17" x14ac:dyDescent="0.25">
      <c r="Q265" s="4"/>
    </row>
    <row r="266" spans="17:17" x14ac:dyDescent="0.25">
      <c r="Q266" s="4"/>
    </row>
    <row r="267" spans="17:17" x14ac:dyDescent="0.25">
      <c r="Q267" s="4"/>
    </row>
    <row r="268" spans="17:17" x14ac:dyDescent="0.25">
      <c r="Q268" s="4"/>
    </row>
    <row r="269" spans="17:17" x14ac:dyDescent="0.25">
      <c r="Q269" s="4"/>
    </row>
    <row r="270" spans="17:17" x14ac:dyDescent="0.25">
      <c r="Q270" s="4"/>
    </row>
    <row r="271" spans="17:17" x14ac:dyDescent="0.25">
      <c r="Q271" s="4"/>
    </row>
    <row r="272" spans="17:17" x14ac:dyDescent="0.25">
      <c r="Q272" s="4"/>
    </row>
    <row r="273" spans="17:17" x14ac:dyDescent="0.25">
      <c r="Q273" s="4"/>
    </row>
    <row r="274" spans="17:17" x14ac:dyDescent="0.25">
      <c r="Q274" s="4"/>
    </row>
    <row r="275" spans="17:17" x14ac:dyDescent="0.25">
      <c r="Q275" s="4"/>
    </row>
    <row r="276" spans="17:17" x14ac:dyDescent="0.25">
      <c r="Q276" s="4"/>
    </row>
    <row r="277" spans="17:17" x14ac:dyDescent="0.25">
      <c r="Q277" s="4"/>
    </row>
    <row r="278" spans="17:17" x14ac:dyDescent="0.25">
      <c r="Q278" s="4"/>
    </row>
    <row r="279" spans="17:17" x14ac:dyDescent="0.25">
      <c r="Q279" s="4"/>
    </row>
    <row r="280" spans="17:17" x14ac:dyDescent="0.25">
      <c r="Q280" s="4"/>
    </row>
    <row r="281" spans="17:17" x14ac:dyDescent="0.25">
      <c r="Q281" s="4"/>
    </row>
    <row r="282" spans="17:17" x14ac:dyDescent="0.25">
      <c r="Q282" s="4"/>
    </row>
    <row r="283" spans="17:17" x14ac:dyDescent="0.25">
      <c r="Q283" s="4"/>
    </row>
    <row r="284" spans="17:17" x14ac:dyDescent="0.25">
      <c r="Q284" s="4"/>
    </row>
    <row r="285" spans="17:17" x14ac:dyDescent="0.25">
      <c r="Q285" s="4"/>
    </row>
    <row r="286" spans="17:17" x14ac:dyDescent="0.25">
      <c r="Q286" s="4"/>
    </row>
    <row r="287" spans="17:17" x14ac:dyDescent="0.25">
      <c r="Q287" s="4"/>
    </row>
    <row r="288" spans="17:17" x14ac:dyDescent="0.25">
      <c r="Q288" s="4"/>
    </row>
    <row r="289" spans="17:17" x14ac:dyDescent="0.25">
      <c r="Q289" s="4"/>
    </row>
    <row r="290" spans="17:17" x14ac:dyDescent="0.25">
      <c r="Q290" s="4"/>
    </row>
    <row r="291" spans="17:17" x14ac:dyDescent="0.25">
      <c r="Q291" s="4"/>
    </row>
    <row r="292" spans="17:17" x14ac:dyDescent="0.25">
      <c r="Q292" s="4"/>
    </row>
    <row r="293" spans="17:17" x14ac:dyDescent="0.25">
      <c r="Q293" s="4"/>
    </row>
    <row r="294" spans="17:17" x14ac:dyDescent="0.25">
      <c r="Q294" s="4"/>
    </row>
    <row r="295" spans="17:17" x14ac:dyDescent="0.25">
      <c r="Q295" s="4"/>
    </row>
    <row r="296" spans="17:17" x14ac:dyDescent="0.25">
      <c r="Q296" s="4"/>
    </row>
    <row r="297" spans="17:17" x14ac:dyDescent="0.25">
      <c r="Q297" s="4"/>
    </row>
    <row r="298" spans="17:17" x14ac:dyDescent="0.25">
      <c r="Q298" s="4"/>
    </row>
    <row r="299" spans="17:17" x14ac:dyDescent="0.25">
      <c r="Q299" s="4"/>
    </row>
    <row r="300" spans="17:17" x14ac:dyDescent="0.25">
      <c r="Q300" s="4"/>
    </row>
    <row r="301" spans="17:17" x14ac:dyDescent="0.25">
      <c r="Q301" s="4"/>
    </row>
    <row r="302" spans="17:17" x14ac:dyDescent="0.25">
      <c r="Q302" s="4"/>
    </row>
    <row r="303" spans="17:17" x14ac:dyDescent="0.25">
      <c r="Q303" s="4"/>
    </row>
    <row r="304" spans="17:17" x14ac:dyDescent="0.25">
      <c r="Q304" s="4"/>
    </row>
    <row r="305" spans="17:17" x14ac:dyDescent="0.25">
      <c r="Q305" s="4"/>
    </row>
    <row r="306" spans="17:17" x14ac:dyDescent="0.25">
      <c r="Q306" s="4"/>
    </row>
    <row r="307" spans="17:17" x14ac:dyDescent="0.25">
      <c r="Q307" s="4"/>
    </row>
    <row r="308" spans="17:17" x14ac:dyDescent="0.25">
      <c r="Q308" s="4"/>
    </row>
    <row r="309" spans="17:17" x14ac:dyDescent="0.25">
      <c r="Q309" s="4"/>
    </row>
    <row r="310" spans="17:17" x14ac:dyDescent="0.25">
      <c r="Q310" s="4"/>
    </row>
    <row r="311" spans="17:17" x14ac:dyDescent="0.25">
      <c r="Q311" s="4"/>
    </row>
    <row r="312" spans="17:17" x14ac:dyDescent="0.25">
      <c r="Q312" s="4"/>
    </row>
    <row r="313" spans="17:17" x14ac:dyDescent="0.25">
      <c r="Q313" s="4"/>
    </row>
    <row r="314" spans="17:17" x14ac:dyDescent="0.25">
      <c r="Q314" s="4"/>
    </row>
    <row r="315" spans="17:17" x14ac:dyDescent="0.25">
      <c r="Q315" s="4"/>
    </row>
    <row r="316" spans="17:17" x14ac:dyDescent="0.25">
      <c r="Q316" s="4"/>
    </row>
    <row r="317" spans="17:17" x14ac:dyDescent="0.25">
      <c r="Q317" s="4"/>
    </row>
    <row r="318" spans="17:17" x14ac:dyDescent="0.25">
      <c r="Q318" s="4"/>
    </row>
    <row r="319" spans="17:17" x14ac:dyDescent="0.25">
      <c r="Q319" s="4"/>
    </row>
    <row r="320" spans="17:17" x14ac:dyDescent="0.25">
      <c r="Q320" s="4"/>
    </row>
    <row r="321" spans="17:17" x14ac:dyDescent="0.25">
      <c r="Q321" s="4"/>
    </row>
    <row r="322" spans="17:17" x14ac:dyDescent="0.25">
      <c r="Q322" s="4"/>
    </row>
    <row r="323" spans="17:17" x14ac:dyDescent="0.25">
      <c r="Q323" s="4"/>
    </row>
    <row r="324" spans="17:17" x14ac:dyDescent="0.25">
      <c r="Q324" s="4"/>
    </row>
    <row r="325" spans="17:17" x14ac:dyDescent="0.25">
      <c r="Q325" s="4"/>
    </row>
    <row r="326" spans="17:17" x14ac:dyDescent="0.25">
      <c r="Q326" s="4"/>
    </row>
    <row r="327" spans="17:17" x14ac:dyDescent="0.25">
      <c r="Q327" s="4"/>
    </row>
    <row r="328" spans="17:17" x14ac:dyDescent="0.25">
      <c r="Q328" s="4"/>
    </row>
    <row r="329" spans="17:17" x14ac:dyDescent="0.25">
      <c r="Q329" s="4"/>
    </row>
    <row r="330" spans="17:17" x14ac:dyDescent="0.25">
      <c r="Q330" s="4"/>
    </row>
    <row r="331" spans="17:17" x14ac:dyDescent="0.25">
      <c r="Q331" s="4"/>
    </row>
    <row r="332" spans="17:17" x14ac:dyDescent="0.25">
      <c r="Q332" s="4"/>
    </row>
    <row r="333" spans="17:17" x14ac:dyDescent="0.25">
      <c r="Q333" s="4"/>
    </row>
    <row r="334" spans="17:17" x14ac:dyDescent="0.25">
      <c r="Q334" s="4"/>
    </row>
    <row r="335" spans="17:17" x14ac:dyDescent="0.25">
      <c r="Q335" s="4"/>
    </row>
    <row r="336" spans="17:17" x14ac:dyDescent="0.25">
      <c r="Q336" s="4"/>
    </row>
    <row r="337" spans="17:17" x14ac:dyDescent="0.25">
      <c r="Q337" s="4"/>
    </row>
    <row r="338" spans="17:17" x14ac:dyDescent="0.25">
      <c r="Q338" s="4"/>
    </row>
    <row r="339" spans="17:17" x14ac:dyDescent="0.25">
      <c r="Q339" s="4"/>
    </row>
    <row r="340" spans="17:17" x14ac:dyDescent="0.25">
      <c r="Q340" s="4"/>
    </row>
    <row r="341" spans="17:17" x14ac:dyDescent="0.25">
      <c r="Q341" s="4"/>
    </row>
    <row r="342" spans="17:17" x14ac:dyDescent="0.25">
      <c r="Q342" s="4"/>
    </row>
    <row r="343" spans="17:17" x14ac:dyDescent="0.25">
      <c r="Q343" s="4"/>
    </row>
    <row r="344" spans="17:17" x14ac:dyDescent="0.25">
      <c r="Q344" s="4"/>
    </row>
    <row r="345" spans="17:17" x14ac:dyDescent="0.25">
      <c r="Q345" s="4"/>
    </row>
    <row r="346" spans="17:17" x14ac:dyDescent="0.25">
      <c r="Q346" s="4"/>
    </row>
    <row r="347" spans="17:17" x14ac:dyDescent="0.25">
      <c r="Q347" s="4"/>
    </row>
    <row r="348" spans="17:17" x14ac:dyDescent="0.25">
      <c r="Q348" s="4"/>
    </row>
    <row r="349" spans="17:17" x14ac:dyDescent="0.25">
      <c r="Q349" s="4"/>
    </row>
    <row r="350" spans="17:17" x14ac:dyDescent="0.25">
      <c r="Q350" s="4"/>
    </row>
    <row r="351" spans="17:17" x14ac:dyDescent="0.25">
      <c r="Q351" s="4"/>
    </row>
    <row r="352" spans="17:17" hidden="1" x14ac:dyDescent="0.25">
      <c r="Q352" s="9" t="b">
        <f>FALSE</f>
        <v>0</v>
      </c>
    </row>
    <row r="609" spans="17:17" x14ac:dyDescent="0.25">
      <c r="Q609" s="9" t="b">
        <v>0</v>
      </c>
    </row>
    <row r="675" spans="17:17" hidden="1" x14ac:dyDescent="0.25">
      <c r="Q675" s="9" t="b">
        <f>FALSE</f>
        <v>0</v>
      </c>
    </row>
  </sheetData>
  <sheetProtection selectLockedCells="1" selectUnlockedCells="1"/>
  <protectedRanges>
    <protectedRange sqref="P15:Y15" name="Diapazonas4"/>
  </protectedRanges>
  <mergeCells count="119">
    <mergeCell ref="A1:J1"/>
    <mergeCell ref="A2:J3"/>
    <mergeCell ref="E5:F5"/>
    <mergeCell ref="G5:J5"/>
    <mergeCell ref="P11:P12"/>
    <mergeCell ref="D27:E27"/>
    <mergeCell ref="L16:N16"/>
    <mergeCell ref="B25:B26"/>
    <mergeCell ref="C25:C26"/>
    <mergeCell ref="D16:E16"/>
    <mergeCell ref="D25:E25"/>
    <mergeCell ref="D17:E17"/>
    <mergeCell ref="L17:N17"/>
    <mergeCell ref="D18:E18"/>
    <mergeCell ref="L18:N18"/>
    <mergeCell ref="C17:C24"/>
    <mergeCell ref="B17:B24"/>
    <mergeCell ref="D19:E19"/>
    <mergeCell ref="L19:N19"/>
    <mergeCell ref="D22:E22"/>
    <mergeCell ref="L22:N22"/>
    <mergeCell ref="D23:E23"/>
    <mergeCell ref="L23:N23"/>
    <mergeCell ref="L20:N20"/>
    <mergeCell ref="W11:W12"/>
    <mergeCell ref="Q11:Q12"/>
    <mergeCell ref="G7:H7"/>
    <mergeCell ref="B11:B12"/>
    <mergeCell ref="C11:C12"/>
    <mergeCell ref="D11:E12"/>
    <mergeCell ref="F11:F12"/>
    <mergeCell ref="G11:H11"/>
    <mergeCell ref="R11:R12"/>
    <mergeCell ref="S11:S12"/>
    <mergeCell ref="T11:T12"/>
    <mergeCell ref="I11:I12"/>
    <mergeCell ref="J11:J12"/>
    <mergeCell ref="X11:X12"/>
    <mergeCell ref="Y11:Y12"/>
    <mergeCell ref="A13:A37"/>
    <mergeCell ref="B13:B14"/>
    <mergeCell ref="C13:C14"/>
    <mergeCell ref="D13:E13"/>
    <mergeCell ref="D24:E24"/>
    <mergeCell ref="L13:N14"/>
    <mergeCell ref="D14:E14"/>
    <mergeCell ref="D15:E15"/>
    <mergeCell ref="L15:N15"/>
    <mergeCell ref="L24:N24"/>
    <mergeCell ref="L25:N26"/>
    <mergeCell ref="D26:E26"/>
    <mergeCell ref="L27:N29"/>
    <mergeCell ref="D28:E28"/>
    <mergeCell ref="D29:E29"/>
    <mergeCell ref="D34:E34"/>
    <mergeCell ref="D30:E30"/>
    <mergeCell ref="D31:E31"/>
    <mergeCell ref="B27:B29"/>
    <mergeCell ref="C27:C29"/>
    <mergeCell ref="U11:U12"/>
    <mergeCell ref="V11:V12"/>
    <mergeCell ref="A82:J82"/>
    <mergeCell ref="D58:E58"/>
    <mergeCell ref="A70:C70"/>
    <mergeCell ref="A72:C72"/>
    <mergeCell ref="G79:J79"/>
    <mergeCell ref="G80:J80"/>
    <mergeCell ref="D62:E62"/>
    <mergeCell ref="D59:E59"/>
    <mergeCell ref="D61:E61"/>
    <mergeCell ref="C60:C61"/>
    <mergeCell ref="B60:B61"/>
    <mergeCell ref="D60:E60"/>
    <mergeCell ref="C58:C59"/>
    <mergeCell ref="B58:B59"/>
    <mergeCell ref="L62:N62"/>
    <mergeCell ref="L59:N59"/>
    <mergeCell ref="L52:N52"/>
    <mergeCell ref="L57:N57"/>
    <mergeCell ref="L53:N53"/>
    <mergeCell ref="L56:N56"/>
    <mergeCell ref="L54:N54"/>
    <mergeCell ref="B52:B53"/>
    <mergeCell ref="C48:E48"/>
    <mergeCell ref="D54:E54"/>
    <mergeCell ref="D53:E53"/>
    <mergeCell ref="D52:E52"/>
    <mergeCell ref="B51:I51"/>
    <mergeCell ref="D57:E57"/>
    <mergeCell ref="D56:E56"/>
    <mergeCell ref="D55:E55"/>
    <mergeCell ref="C54:C55"/>
    <mergeCell ref="B54:B55"/>
    <mergeCell ref="L61:N61"/>
    <mergeCell ref="L58:N58"/>
    <mergeCell ref="C49:E49"/>
    <mergeCell ref="L21:N21"/>
    <mergeCell ref="D20:E20"/>
    <mergeCell ref="D21:E21"/>
    <mergeCell ref="B30:B36"/>
    <mergeCell ref="C47:E47"/>
    <mergeCell ref="D33:E33"/>
    <mergeCell ref="D35:E35"/>
    <mergeCell ref="D40:E40"/>
    <mergeCell ref="D37:E37"/>
    <mergeCell ref="C39:C41"/>
    <mergeCell ref="L39:N41"/>
    <mergeCell ref="D32:E32"/>
    <mergeCell ref="C30:C36"/>
    <mergeCell ref="L37:N37"/>
    <mergeCell ref="L30:N36"/>
    <mergeCell ref="D41:E41"/>
    <mergeCell ref="D39:E39"/>
    <mergeCell ref="B39:B41"/>
    <mergeCell ref="C46:E46"/>
    <mergeCell ref="B44:I44"/>
    <mergeCell ref="C45:E45"/>
    <mergeCell ref="D36:E36"/>
    <mergeCell ref="B38:J38"/>
  </mergeCells>
  <phoneticPr fontId="36" type="noConversion"/>
  <conditionalFormatting sqref="D68 M3">
    <cfRule type="cellIs" dxfId="71" priority="38" stopIfTrue="1" operator="lessThan">
      <formula>8</formula>
    </cfRule>
  </conditionalFormatting>
  <conditionalFormatting sqref="E68 E70 E72">
    <cfRule type="expression" dxfId="70" priority="39" stopIfTrue="1">
      <formula>#REF!=0</formula>
    </cfRule>
    <cfRule type="expression" dxfId="69" priority="40" stopIfTrue="1">
      <formula>#REF!=1</formula>
    </cfRule>
  </conditionalFormatting>
  <conditionalFormatting sqref="D72 D70 M7 M5">
    <cfRule type="cellIs" dxfId="68" priority="41" stopIfTrue="1" operator="notBetween">
      <formula>28</formula>
      <formula>35</formula>
    </cfRule>
  </conditionalFormatting>
  <conditionalFormatting sqref="C48:E48">
    <cfRule type="expression" dxfId="67" priority="47" stopIfTrue="1">
      <formula>$S$48=1</formula>
    </cfRule>
  </conditionalFormatting>
  <conditionalFormatting sqref="O37 O30:O31 O33:O35">
    <cfRule type="cellIs" dxfId="66" priority="51" stopIfTrue="1" operator="equal">
      <formula>"Privaloma pasirinkti vieną menų arba technologijų dalyką"</formula>
    </cfRule>
  </conditionalFormatting>
  <conditionalFormatting sqref="D42:E42">
    <cfRule type="expression" dxfId="65" priority="52" stopIfTrue="1">
      <formula>#REF!*#REF!=1</formula>
    </cfRule>
  </conditionalFormatting>
  <conditionalFormatting sqref="L37">
    <cfRule type="cellIs" dxfId="64" priority="59" stopIfTrue="1" operator="equal">
      <formula>"Privaloma pasirinkti vieną kūno kultūros dalyką"</formula>
    </cfRule>
  </conditionalFormatting>
  <conditionalFormatting sqref="C37">
    <cfRule type="expression" dxfId="63" priority="60" stopIfTrue="1">
      <formula>$T$36=0</formula>
    </cfRule>
  </conditionalFormatting>
  <conditionalFormatting sqref="D36:E36">
    <cfRule type="expression" dxfId="62" priority="61" stopIfTrue="1">
      <formula>$S$36*$T$36=1</formula>
    </cfRule>
  </conditionalFormatting>
  <conditionalFormatting sqref="D37:E37">
    <cfRule type="expression" dxfId="61" priority="62" stopIfTrue="1">
      <formula>$S$37*$T$37=1</formula>
    </cfRule>
  </conditionalFormatting>
  <conditionalFormatting sqref="D34:E34">
    <cfRule type="expression" dxfId="60" priority="65" stopIfTrue="1">
      <formula>$S$34*$T$34=1</formula>
    </cfRule>
  </conditionalFormatting>
  <conditionalFormatting sqref="D33:E33">
    <cfRule type="expression" dxfId="59" priority="67" stopIfTrue="1">
      <formula>$S$33*$T$33=1</formula>
    </cfRule>
  </conditionalFormatting>
  <conditionalFormatting sqref="O27:O29">
    <cfRule type="cellIs" dxfId="58" priority="69" stopIfTrue="1" operator="equal">
      <formula>"Privaloma pasirinkti bent vieną iš gamtos mokslų"</formula>
    </cfRule>
  </conditionalFormatting>
  <conditionalFormatting sqref="D26:F26">
    <cfRule type="expression" dxfId="57" priority="70" stopIfTrue="1">
      <formula>$S$26=1</formula>
    </cfRule>
  </conditionalFormatting>
  <conditionalFormatting sqref="D25 F25">
    <cfRule type="expression" dxfId="56" priority="72" stopIfTrue="1">
      <formula>$S$25=1</formula>
    </cfRule>
  </conditionalFormatting>
  <conditionalFormatting sqref="O25:O26">
    <cfRule type="cellIs" dxfId="55" priority="73" stopIfTrue="1" operator="equal">
      <formula>"Privaloma pasirinkti bent vieną iš socialinių mokslų"</formula>
    </cfRule>
  </conditionalFormatting>
  <conditionalFormatting sqref="O24">
    <cfRule type="cellIs" dxfId="54" priority="74" stopIfTrue="1" operator="equal">
      <formula>"Privaloma pasirinkti pirmąją užsienio kalbą"</formula>
    </cfRule>
  </conditionalFormatting>
  <conditionalFormatting sqref="D15:F15 F16">
    <cfRule type="expression" dxfId="53" priority="75" stopIfTrue="1">
      <formula>$S$15=1</formula>
    </cfRule>
  </conditionalFormatting>
  <conditionalFormatting sqref="O15:O16">
    <cfRule type="cellIs" dxfId="52" priority="76" stopIfTrue="1" operator="equal">
      <formula>"Privaloma pasirinkti lietuvių k. A arba B kursą"</formula>
    </cfRule>
  </conditionalFormatting>
  <conditionalFormatting sqref="C27">
    <cfRule type="expression" dxfId="51" priority="77" stopIfTrue="1">
      <formula>$T$27=0</formula>
    </cfRule>
  </conditionalFormatting>
  <conditionalFormatting sqref="D30:E30">
    <cfRule type="expression" dxfId="50" priority="78" stopIfTrue="1">
      <formula>$S$30*$T$30=1</formula>
    </cfRule>
  </conditionalFormatting>
  <conditionalFormatting sqref="D31:E31">
    <cfRule type="expression" dxfId="49" priority="81" stopIfTrue="1">
      <formula>$S$31*$T$31=1</formula>
    </cfRule>
  </conditionalFormatting>
  <conditionalFormatting sqref="C15">
    <cfRule type="expression" dxfId="48" priority="82" stopIfTrue="1">
      <formula>$S$15=0</formula>
    </cfRule>
  </conditionalFormatting>
  <conditionalFormatting sqref="C25:C26">
    <cfRule type="expression" dxfId="47" priority="84" stopIfTrue="1">
      <formula>$T$25=0</formula>
    </cfRule>
  </conditionalFormatting>
  <conditionalFormatting sqref="L13:O14">
    <cfRule type="cellIs" dxfId="46" priority="87" stopIfTrue="1" operator="equal">
      <formula>"Privaloma pasirinkti vieną dorinio ugdymo dalyką"</formula>
    </cfRule>
  </conditionalFormatting>
  <conditionalFormatting sqref="D13:E13">
    <cfRule type="expression" dxfId="45" priority="88" stopIfTrue="1">
      <formula>$S$13=1</formula>
    </cfRule>
  </conditionalFormatting>
  <conditionalFormatting sqref="C13:C14">
    <cfRule type="expression" dxfId="44" priority="89" stopIfTrue="1">
      <formula>$T$13=0</formula>
    </cfRule>
  </conditionalFormatting>
  <conditionalFormatting sqref="D14:E14">
    <cfRule type="expression" dxfId="43" priority="90" stopIfTrue="1">
      <formula>$S$14=1</formula>
    </cfRule>
  </conditionalFormatting>
  <conditionalFormatting sqref="C30">
    <cfRule type="expression" dxfId="42" priority="91" stopIfTrue="1">
      <formula>SUM($T$30:$T$36)=0</formula>
    </cfRule>
  </conditionalFormatting>
  <conditionalFormatting sqref="D24:E24">
    <cfRule type="expression" dxfId="41" priority="92" stopIfTrue="1">
      <formula>$S$24=1</formula>
    </cfRule>
  </conditionalFormatting>
  <conditionalFormatting sqref="D27:E27">
    <cfRule type="expression" dxfId="40" priority="97" stopIfTrue="1">
      <formula>$S$27=1</formula>
    </cfRule>
  </conditionalFormatting>
  <conditionalFormatting sqref="D28:E28">
    <cfRule type="expression" dxfId="39" priority="98" stopIfTrue="1">
      <formula>$S$28=1</formula>
    </cfRule>
  </conditionalFormatting>
  <conditionalFormatting sqref="D29:E29">
    <cfRule type="expression" dxfId="38" priority="99" stopIfTrue="1">
      <formula>$S$29=1</formula>
    </cfRule>
  </conditionalFormatting>
  <conditionalFormatting sqref="C45:E45">
    <cfRule type="expression" dxfId="37" priority="102" stopIfTrue="1">
      <formula>$S$45=1</formula>
    </cfRule>
  </conditionalFormatting>
  <conditionalFormatting sqref="C46:E46">
    <cfRule type="expression" dxfId="36" priority="103" stopIfTrue="1">
      <formula>$S$46=1</formula>
    </cfRule>
  </conditionalFormatting>
  <conditionalFormatting sqref="L24:N24">
    <cfRule type="cellIs" dxfId="35" priority="107" stopIfTrue="1" operator="equal">
      <formula>"Privaloma pasirinkti užsienio kalbą (ir modulį B2 kursui)"</formula>
    </cfRule>
  </conditionalFormatting>
  <conditionalFormatting sqref="L25:N26">
    <cfRule type="cellIs" dxfId="34" priority="108" stopIfTrue="1" operator="equal">
      <formula>"Privaloma pasirinkti bent vieną socialinio ugdymo dalyką (ir modulį A kursui)"</formula>
    </cfRule>
  </conditionalFormatting>
  <conditionalFormatting sqref="L27:N29">
    <cfRule type="cellIs" dxfId="33" priority="110" stopIfTrue="1" operator="equal">
      <formula>"Privaloma pasirinkti bent vieną gamtamokslinio ugdymo dalyką (ir modulį A kursui)"</formula>
    </cfRule>
  </conditionalFormatting>
  <conditionalFormatting sqref="L30">
    <cfRule type="cellIs" dxfId="32" priority="111" stopIfTrue="1" operator="equal">
      <formula>"Privaloma pasirinkti vieną menų ar technologijų dalyką"</formula>
    </cfRule>
  </conditionalFormatting>
  <conditionalFormatting sqref="O39:O41">
    <cfRule type="cellIs" dxfId="31" priority="32" stopIfTrue="1" operator="equal">
      <formula>"Privaloma pasirinkti matematikos A arba B kursą"</formula>
    </cfRule>
  </conditionalFormatting>
  <conditionalFormatting sqref="C39">
    <cfRule type="expression" dxfId="30" priority="33" stopIfTrue="1">
      <formula>#REF!=0</formula>
    </cfRule>
  </conditionalFormatting>
  <conditionalFormatting sqref="L42:N42 L39">
    <cfRule type="cellIs" dxfId="29" priority="36" stopIfTrue="1" operator="equal">
      <formula>"Galima pasirinkti informacinių technologijų A arba B kursą"</formula>
    </cfRule>
  </conditionalFormatting>
  <conditionalFormatting sqref="D39:E39">
    <cfRule type="expression" dxfId="28" priority="166" stopIfTrue="1">
      <formula>$S$39*$T$39=1</formula>
    </cfRule>
  </conditionalFormatting>
  <conditionalFormatting sqref="L15:N15">
    <cfRule type="cellIs" dxfId="27" priority="167" stopIfTrue="1" operator="equal">
      <formula>"Privaloma pasirinkti gimtąją kalbą (ir modulį A kursui)"</formula>
    </cfRule>
  </conditionalFormatting>
  <conditionalFormatting sqref="D40:E40">
    <cfRule type="expression" dxfId="26" priority="168" stopIfTrue="1">
      <formula>$S$40*$T$40=1</formula>
    </cfRule>
  </conditionalFormatting>
  <conditionalFormatting sqref="L16:N16">
    <cfRule type="cellIs" dxfId="25" priority="29" stopIfTrue="1" operator="equal">
      <formula>"Privaloma pasirinkti matematiką (ir modulį A kursui)"</formula>
    </cfRule>
  </conditionalFormatting>
  <conditionalFormatting sqref="D16:E16">
    <cfRule type="expression" dxfId="24" priority="27" stopIfTrue="1">
      <formula>$S$16=1</formula>
    </cfRule>
    <cfRule type="expression" dxfId="23" priority="171" stopIfTrue="1">
      <formula>#REF!=1</formula>
    </cfRule>
  </conditionalFormatting>
  <conditionalFormatting sqref="C16">
    <cfRule type="expression" dxfId="22" priority="28" stopIfTrue="1">
      <formula>$S$16=0</formula>
    </cfRule>
  </conditionalFormatting>
  <conditionalFormatting sqref="D41:E41">
    <cfRule type="expression" priority="26" stopIfTrue="1">
      <formula>$S$41*$T$41=1</formula>
    </cfRule>
  </conditionalFormatting>
  <conditionalFormatting sqref="D35:E35">
    <cfRule type="expression" dxfId="21" priority="25" stopIfTrue="1">
      <formula>$S$35*$T$35=1</formula>
    </cfRule>
  </conditionalFormatting>
  <conditionalFormatting sqref="C47:E47">
    <cfRule type="expression" dxfId="20" priority="23" stopIfTrue="1">
      <formula>$S$47=1</formula>
    </cfRule>
  </conditionalFormatting>
  <conditionalFormatting sqref="O32">
    <cfRule type="cellIs" dxfId="19" priority="20" stopIfTrue="1" operator="equal">
      <formula>"Privaloma pasirinkti vieną menų arba technologijų dalyką"</formula>
    </cfRule>
  </conditionalFormatting>
  <conditionalFormatting sqref="D32:E32">
    <cfRule type="expression" dxfId="18" priority="21" stopIfTrue="1">
      <formula>$S$32*$T$32=1</formula>
    </cfRule>
  </conditionalFormatting>
  <conditionalFormatting sqref="O17">
    <cfRule type="cellIs" dxfId="17" priority="16" stopIfTrue="1" operator="equal">
      <formula>"Privaloma pasirinkti pirmąją užsienio kalbą"</formula>
    </cfRule>
  </conditionalFormatting>
  <conditionalFormatting sqref="C17">
    <cfRule type="expression" dxfId="16" priority="17" stopIfTrue="1">
      <formula>$S$17:$S$24=0</formula>
    </cfRule>
  </conditionalFormatting>
  <conditionalFormatting sqref="D17:E17">
    <cfRule type="expression" dxfId="15" priority="18" stopIfTrue="1">
      <formula>$S$17=1</formula>
    </cfRule>
  </conditionalFormatting>
  <conditionalFormatting sqref="L17:N17">
    <cfRule type="cellIs" dxfId="14" priority="19" stopIfTrue="1" operator="equal">
      <formula>"Privaloma pasirinkti užsienio kalbą (ir modulį B2 kursui)"</formula>
    </cfRule>
  </conditionalFormatting>
  <conditionalFormatting sqref="O18">
    <cfRule type="cellIs" dxfId="13" priority="12" stopIfTrue="1" operator="equal">
      <formula>"Privaloma pasirinkti pirmąją užsienio kalbą"</formula>
    </cfRule>
  </conditionalFormatting>
  <conditionalFormatting sqref="D18:E18">
    <cfRule type="expression" dxfId="12" priority="14" stopIfTrue="1">
      <formula>$S$18=1</formula>
    </cfRule>
  </conditionalFormatting>
  <conditionalFormatting sqref="L18:N18">
    <cfRule type="cellIs" dxfId="11" priority="15" stopIfTrue="1" operator="equal">
      <formula>"Privaloma pasirinkti užsienio kalbą (ir modulį B2 kursui)"</formula>
    </cfRule>
  </conditionalFormatting>
  <conditionalFormatting sqref="O19:O21">
    <cfRule type="cellIs" dxfId="10" priority="9" stopIfTrue="1" operator="equal">
      <formula>"Privaloma pasirinkti pirmąją užsienio kalbą"</formula>
    </cfRule>
  </conditionalFormatting>
  <conditionalFormatting sqref="D19:E19">
    <cfRule type="expression" dxfId="9" priority="10" stopIfTrue="1">
      <formula>$S$19=1</formula>
    </cfRule>
  </conditionalFormatting>
  <conditionalFormatting sqref="L19:N19 L20:L21">
    <cfRule type="cellIs" dxfId="8" priority="11" stopIfTrue="1" operator="equal">
      <formula>"Privaloma pasirinkti užsienio kalbą (ir modulį B2 kursui)"</formula>
    </cfRule>
  </conditionalFormatting>
  <conditionalFormatting sqref="O22">
    <cfRule type="cellIs" dxfId="7" priority="6" stopIfTrue="1" operator="equal">
      <formula>"Privaloma pasirinkti pirmąją užsienio kalbą"</formula>
    </cfRule>
  </conditionalFormatting>
  <conditionalFormatting sqref="D22:E22">
    <cfRule type="expression" dxfId="6" priority="7" stopIfTrue="1">
      <formula>$S$22=1</formula>
    </cfRule>
  </conditionalFormatting>
  <conditionalFormatting sqref="L22:N22">
    <cfRule type="cellIs" dxfId="5" priority="8" stopIfTrue="1" operator="equal">
      <formula>"Privaloma pasirinkti užsienio kalbą (ir modulį B2 kursui)"</formula>
    </cfRule>
  </conditionalFormatting>
  <conditionalFormatting sqref="O23">
    <cfRule type="cellIs" dxfId="4" priority="3" stopIfTrue="1" operator="equal">
      <formula>"Privaloma pasirinkti pirmąją užsienio kalbą"</formula>
    </cfRule>
  </conditionalFormatting>
  <conditionalFormatting sqref="D23:E23">
    <cfRule type="expression" dxfId="3" priority="4" stopIfTrue="1">
      <formula>$S$23=1</formula>
    </cfRule>
  </conditionalFormatting>
  <conditionalFormatting sqref="L23:N23">
    <cfRule type="cellIs" dxfId="2" priority="5" stopIfTrue="1" operator="equal">
      <formula>"Privaloma pasirinkti užsienio kalbą (ir modulį B2 kursui)"</formula>
    </cfRule>
  </conditionalFormatting>
  <conditionalFormatting sqref="D20:E20">
    <cfRule type="expression" dxfId="1" priority="2" stopIfTrue="1">
      <formula>$S$20=1</formula>
    </cfRule>
  </conditionalFormatting>
  <conditionalFormatting sqref="D21:E21">
    <cfRule type="expression" dxfId="0" priority="1" stopIfTrue="1">
      <formula>$S$21=1</formula>
    </cfRule>
  </conditionalFormatting>
  <printOptions horizontalCentered="1" verticalCentered="1"/>
  <pageMargins left="0.25" right="0.25" top="0.75" bottom="0.75" header="0.3" footer="0.3"/>
  <pageSetup paperSize="9" firstPageNumber="0" orientation="portrait" horizontalDpi="300" verticalDpi="300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2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8</xdr:col>
                    <xdr:colOff>198120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2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198120</xdr:colOff>
                    <xdr:row>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29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8</xdr:col>
                    <xdr:colOff>198120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302">
              <controlPr defaultSize="0" autoFill="0" autoLine="0" autoPict="0">
                <anchor moveWithCells="1" sizeWithCells="1">
                  <from>
                    <xdr:col>8</xdr:col>
                    <xdr:colOff>15240</xdr:colOff>
                    <xdr:row>52</xdr:row>
                    <xdr:rowOff>609600</xdr:rowOff>
                  </from>
                  <to>
                    <xdr:col>8</xdr:col>
                    <xdr:colOff>213360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3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99060</xdr:rowOff>
                  </from>
                  <to>
                    <xdr:col>8</xdr:col>
                    <xdr:colOff>198120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198120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Check Box 3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198120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68580</xdr:rowOff>
                  </from>
                  <to>
                    <xdr:col>8</xdr:col>
                    <xdr:colOff>198120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8</xdr:col>
                    <xdr:colOff>198120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8</xdr:col>
                    <xdr:colOff>198120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302">
              <controlPr defaultSize="0" autoFill="0" autoLine="0" autoPict="0">
                <anchor moveWithCells="1" sizeWithCells="1">
                  <from>
                    <xdr:col>7</xdr:col>
                    <xdr:colOff>259080</xdr:colOff>
                    <xdr:row>52</xdr:row>
                    <xdr:rowOff>76200</xdr:rowOff>
                  </from>
                  <to>
                    <xdr:col>8</xdr:col>
                    <xdr:colOff>190500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198120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9</xdr:col>
                    <xdr:colOff>198120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8</xdr:col>
                    <xdr:colOff>30480</xdr:colOff>
                    <xdr:row>40</xdr:row>
                    <xdr:rowOff>0</xdr:rowOff>
                  </from>
                  <to>
                    <xdr:col>8</xdr:col>
                    <xdr:colOff>335280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8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8</xdr:col>
                    <xdr:colOff>198120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9" name="Check Box 111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182880</xdr:rowOff>
                  </from>
                  <to>
                    <xdr:col>8</xdr:col>
                    <xdr:colOff>182880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0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8</xdr:col>
                    <xdr:colOff>198120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1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8</xdr:col>
                    <xdr:colOff>198120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2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198120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3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198120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4" name="Check Box 17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198120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25" name="Check Box 1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198120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6" name="Check Box 1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8</xdr:col>
                    <xdr:colOff>198120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7" name="Check Box 19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9</xdr:col>
                    <xdr:colOff>198120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8" name="Check Box 20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198120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9" name="Check Box 2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198120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0" name="Check Box 2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198120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31" name="Check Box 2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198120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2" name="Check Box 21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9</xdr:col>
                    <xdr:colOff>198120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3" name="Check Box 21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198120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4" name="Check Box 21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198120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5" name="Check Box 217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9</xdr:col>
                    <xdr:colOff>198120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6" name="Check Box 2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198120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7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198120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3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8</xdr:col>
                    <xdr:colOff>198120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3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198120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3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198120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3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198120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23</xdr:row>
                    <xdr:rowOff>15240</xdr:rowOff>
                  </from>
                  <to>
                    <xdr:col>9</xdr:col>
                    <xdr:colOff>205740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7</xdr:col>
                    <xdr:colOff>259080</xdr:colOff>
                    <xdr:row>14</xdr:row>
                    <xdr:rowOff>175260</xdr:rowOff>
                  </from>
                  <to>
                    <xdr:col>8</xdr:col>
                    <xdr:colOff>297180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182880</xdr:rowOff>
                  </from>
                  <to>
                    <xdr:col>9</xdr:col>
                    <xdr:colOff>304800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160020</xdr:rowOff>
                  </from>
                  <to>
                    <xdr:col>8</xdr:col>
                    <xdr:colOff>304800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6" name="Check Box 297">
              <controlPr defaultSize="0" autoFill="0" autoLine="0" autoPict="0">
                <anchor moveWithCells="1" sizeWithCells="1">
                  <from>
                    <xdr:col>8</xdr:col>
                    <xdr:colOff>30480</xdr:colOff>
                    <xdr:row>49</xdr:row>
                    <xdr:rowOff>0</xdr:rowOff>
                  </from>
                  <to>
                    <xdr:col>8</xdr:col>
                    <xdr:colOff>266700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29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198120</xdr:rowOff>
                  </from>
                  <to>
                    <xdr:col>8</xdr:col>
                    <xdr:colOff>175260</xdr:colOff>
                    <xdr:row>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3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198120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16</xdr:row>
                    <xdr:rowOff>15240</xdr:rowOff>
                  </from>
                  <to>
                    <xdr:col>9</xdr:col>
                    <xdr:colOff>205740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17</xdr:row>
                    <xdr:rowOff>15240</xdr:rowOff>
                  </from>
                  <to>
                    <xdr:col>9</xdr:col>
                    <xdr:colOff>205740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1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18</xdr:row>
                    <xdr:rowOff>15240</xdr:rowOff>
                  </from>
                  <to>
                    <xdr:col>9</xdr:col>
                    <xdr:colOff>205740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2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21</xdr:row>
                    <xdr:rowOff>15240</xdr:rowOff>
                  </from>
                  <to>
                    <xdr:col>9</xdr:col>
                    <xdr:colOff>205740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3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22</xdr:row>
                    <xdr:rowOff>15240</xdr:rowOff>
                  </from>
                  <to>
                    <xdr:col>9</xdr:col>
                    <xdr:colOff>205740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4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19</xdr:row>
                    <xdr:rowOff>15240</xdr:rowOff>
                  </from>
                  <to>
                    <xdr:col>9</xdr:col>
                    <xdr:colOff>205740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5" name="Check Box 200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20</xdr:row>
                    <xdr:rowOff>15240</xdr:rowOff>
                  </from>
                  <to>
                    <xdr:col>9</xdr:col>
                    <xdr:colOff>205740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W4"/>
  <sheetViews>
    <sheetView view="pageBreakPreview" zoomScaleSheetLayoutView="100" workbookViewId="0">
      <selection activeCell="BW4" sqref="BW4"/>
    </sheetView>
  </sheetViews>
  <sheetFormatPr defaultColWidth="9.109375" defaultRowHeight="13.2" x14ac:dyDescent="0.25"/>
  <cols>
    <col min="1" max="1" width="6.109375" style="158" customWidth="1"/>
    <col min="2" max="2" width="19.109375" style="158" customWidth="1"/>
    <col min="3" max="3" width="3.33203125" style="158" customWidth="1"/>
    <col min="4" max="5" width="4.33203125" style="158" customWidth="1"/>
    <col min="6" max="13" width="3" style="158" customWidth="1"/>
    <col min="14" max="14" width="3" style="159" customWidth="1"/>
    <col min="15" max="37" width="3" style="158" customWidth="1"/>
    <col min="38" max="40" width="4.6640625" style="158" customWidth="1"/>
    <col min="41" max="41" width="3.109375" style="158" customWidth="1"/>
    <col min="42" max="43" width="3.88671875" style="158" customWidth="1"/>
    <col min="44" max="47" width="3" style="158" customWidth="1"/>
    <col min="48" max="48" width="3.44140625" style="158" customWidth="1"/>
    <col min="49" max="52" width="4.6640625" style="158" customWidth="1"/>
    <col min="53" max="53" width="3.5546875" style="158" customWidth="1"/>
    <col min="54" max="54" width="3.5546875" style="160" customWidth="1"/>
    <col min="55" max="59" width="3.5546875" style="158" customWidth="1"/>
    <col min="60" max="62" width="4.5546875" style="158" customWidth="1"/>
    <col min="63" max="72" width="4.33203125" style="158" customWidth="1"/>
    <col min="73" max="16384" width="9.109375" style="158"/>
  </cols>
  <sheetData>
    <row r="1" spans="1:75" ht="13.5" customHeight="1" x14ac:dyDescent="0.25">
      <c r="A1" s="428" t="s">
        <v>4</v>
      </c>
      <c r="B1" s="418" t="s">
        <v>60</v>
      </c>
      <c r="C1" s="418" t="s">
        <v>61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161"/>
      <c r="BJ1" s="161"/>
      <c r="BK1" s="418"/>
      <c r="BL1" s="418"/>
      <c r="BM1" s="418"/>
      <c r="BN1" s="418"/>
      <c r="BO1" s="418"/>
      <c r="BP1" s="418"/>
      <c r="BQ1" s="418"/>
      <c r="BR1" s="418"/>
      <c r="BS1" s="161"/>
      <c r="BT1" s="161"/>
      <c r="BU1" s="418" t="s">
        <v>62</v>
      </c>
      <c r="BV1" s="422" t="s">
        <v>63</v>
      </c>
      <c r="BW1" s="424" t="s">
        <v>64</v>
      </c>
    </row>
    <row r="2" spans="1:75" ht="57.75" customHeight="1" x14ac:dyDescent="0.25">
      <c r="A2" s="428"/>
      <c r="B2" s="418"/>
      <c r="C2" s="418" t="s">
        <v>22</v>
      </c>
      <c r="D2" s="418"/>
      <c r="E2" s="161"/>
      <c r="F2" s="421" t="s">
        <v>65</v>
      </c>
      <c r="G2" s="421" t="s">
        <v>66</v>
      </c>
      <c r="H2" s="421" t="s">
        <v>67</v>
      </c>
      <c r="I2" s="418" t="s">
        <v>68</v>
      </c>
      <c r="J2" s="418"/>
      <c r="K2" s="418"/>
      <c r="L2" s="418"/>
      <c r="M2" s="418"/>
      <c r="N2" s="418"/>
      <c r="O2" s="418" t="s">
        <v>29</v>
      </c>
      <c r="P2" s="418"/>
      <c r="Q2" s="418"/>
      <c r="R2" s="418"/>
      <c r="S2" s="418"/>
      <c r="T2" s="421" t="s">
        <v>69</v>
      </c>
      <c r="U2" s="421" t="s">
        <v>70</v>
      </c>
      <c r="V2" s="421" t="s">
        <v>71</v>
      </c>
      <c r="W2" s="418" t="s">
        <v>36</v>
      </c>
      <c r="X2" s="418"/>
      <c r="Y2" s="418"/>
      <c r="Z2" s="418"/>
      <c r="AA2" s="418"/>
      <c r="AB2" s="418"/>
      <c r="AC2" s="422" t="s">
        <v>72</v>
      </c>
      <c r="AD2" s="422"/>
      <c r="AE2" s="422"/>
      <c r="AF2" s="422"/>
      <c r="AG2" s="422"/>
      <c r="AH2" s="422"/>
      <c r="AI2" s="422"/>
      <c r="AJ2" s="422"/>
      <c r="AK2" s="423" t="s">
        <v>73</v>
      </c>
      <c r="AL2" s="423"/>
      <c r="AM2" s="423"/>
      <c r="AN2" s="423"/>
      <c r="AO2" s="423"/>
      <c r="AP2" s="418" t="s">
        <v>44</v>
      </c>
      <c r="AQ2" s="418"/>
      <c r="AR2" s="418" t="s">
        <v>74</v>
      </c>
      <c r="AS2" s="418"/>
      <c r="AT2" s="418"/>
      <c r="AU2" s="418"/>
      <c r="AV2" s="429" t="s">
        <v>75</v>
      </c>
      <c r="AW2" s="429" t="s">
        <v>76</v>
      </c>
      <c r="AX2" s="429" t="s">
        <v>77</v>
      </c>
      <c r="AY2" s="429" t="s">
        <v>78</v>
      </c>
      <c r="AZ2" s="162"/>
      <c r="BA2" s="419" t="s">
        <v>48</v>
      </c>
      <c r="BB2" s="420" t="s">
        <v>79</v>
      </c>
      <c r="BC2" s="419" t="s">
        <v>80</v>
      </c>
      <c r="BD2" s="419" t="s">
        <v>81</v>
      </c>
      <c r="BE2" s="419" t="s">
        <v>46</v>
      </c>
      <c r="BF2" s="419" t="s">
        <v>49</v>
      </c>
      <c r="BG2" s="419" t="s">
        <v>82</v>
      </c>
      <c r="BH2" s="419" t="s">
        <v>41</v>
      </c>
      <c r="BI2" s="164"/>
      <c r="BJ2" s="425" t="s">
        <v>83</v>
      </c>
      <c r="BK2" s="425"/>
      <c r="BL2" s="165" t="s">
        <v>32</v>
      </c>
      <c r="BM2" s="166" t="s">
        <v>37</v>
      </c>
      <c r="BN2" s="426" t="s">
        <v>38</v>
      </c>
      <c r="BO2" s="426"/>
      <c r="BP2" s="166" t="s">
        <v>39</v>
      </c>
      <c r="BQ2" s="427" t="s">
        <v>84</v>
      </c>
      <c r="BR2" s="427"/>
      <c r="BS2" s="419" t="s">
        <v>85</v>
      </c>
      <c r="BT2" s="419" t="s">
        <v>86</v>
      </c>
      <c r="BU2" s="418"/>
      <c r="BV2" s="422"/>
      <c r="BW2" s="424"/>
    </row>
    <row r="3" spans="1:75" s="159" customFormat="1" ht="116.25" customHeight="1" x14ac:dyDescent="0.25">
      <c r="A3" s="428"/>
      <c r="B3" s="418"/>
      <c r="C3" s="163" t="s">
        <v>87</v>
      </c>
      <c r="D3" s="163" t="s">
        <v>25</v>
      </c>
      <c r="E3" s="163" t="s">
        <v>88</v>
      </c>
      <c r="F3" s="421"/>
      <c r="G3" s="421"/>
      <c r="H3" s="421"/>
      <c r="I3" s="163" t="s">
        <v>89</v>
      </c>
      <c r="J3" s="163" t="s">
        <v>90</v>
      </c>
      <c r="K3" s="163" t="s">
        <v>91</v>
      </c>
      <c r="L3" s="163" t="s">
        <v>92</v>
      </c>
      <c r="M3" s="163" t="s">
        <v>93</v>
      </c>
      <c r="N3" s="163" t="s">
        <v>94</v>
      </c>
      <c r="O3" s="163" t="s">
        <v>95</v>
      </c>
      <c r="P3" s="163" t="s">
        <v>96</v>
      </c>
      <c r="Q3" s="163" t="s">
        <v>97</v>
      </c>
      <c r="R3" s="163" t="s">
        <v>98</v>
      </c>
      <c r="S3" s="163" t="s">
        <v>99</v>
      </c>
      <c r="T3" s="421"/>
      <c r="U3" s="421"/>
      <c r="V3" s="421"/>
      <c r="W3" s="163" t="s">
        <v>100</v>
      </c>
      <c r="X3" s="163" t="s">
        <v>101</v>
      </c>
      <c r="Y3" s="163" t="s">
        <v>102</v>
      </c>
      <c r="Z3" s="163" t="s">
        <v>103</v>
      </c>
      <c r="AA3" s="163" t="s">
        <v>104</v>
      </c>
      <c r="AB3" s="163" t="s">
        <v>105</v>
      </c>
      <c r="AC3" s="163" t="s">
        <v>106</v>
      </c>
      <c r="AD3" s="163" t="s">
        <v>107</v>
      </c>
      <c r="AE3" s="163" t="s">
        <v>108</v>
      </c>
      <c r="AF3" s="163" t="s">
        <v>109</v>
      </c>
      <c r="AG3" s="163" t="s">
        <v>110</v>
      </c>
      <c r="AH3" s="163" t="s">
        <v>111</v>
      </c>
      <c r="AI3" s="163" t="s">
        <v>112</v>
      </c>
      <c r="AJ3" s="167" t="s">
        <v>113</v>
      </c>
      <c r="AK3" s="167" t="s">
        <v>114</v>
      </c>
      <c r="AL3" s="167" t="s">
        <v>115</v>
      </c>
      <c r="AM3" s="163" t="s">
        <v>116</v>
      </c>
      <c r="AN3" s="163" t="s">
        <v>117</v>
      </c>
      <c r="AO3" s="167" t="s">
        <v>118</v>
      </c>
      <c r="AP3" s="163" t="s">
        <v>119</v>
      </c>
      <c r="AQ3" s="163" t="s">
        <v>120</v>
      </c>
      <c r="AR3" s="163" t="s">
        <v>121</v>
      </c>
      <c r="AS3" s="163" t="s">
        <v>122</v>
      </c>
      <c r="AT3" s="163" t="s">
        <v>51</v>
      </c>
      <c r="AU3" s="163" t="s">
        <v>123</v>
      </c>
      <c r="AV3" s="429"/>
      <c r="AW3" s="429"/>
      <c r="AX3" s="429"/>
      <c r="AY3" s="429"/>
      <c r="AZ3" s="162" t="s">
        <v>124</v>
      </c>
      <c r="BA3" s="419"/>
      <c r="BB3" s="420"/>
      <c r="BC3" s="419"/>
      <c r="BD3" s="419"/>
      <c r="BE3" s="419"/>
      <c r="BF3" s="419"/>
      <c r="BG3" s="419"/>
      <c r="BH3" s="419"/>
      <c r="BI3" s="163" t="s">
        <v>125</v>
      </c>
      <c r="BJ3" s="163" t="s">
        <v>126</v>
      </c>
      <c r="BK3" s="167" t="s">
        <v>127</v>
      </c>
      <c r="BL3" s="167" t="s">
        <v>128</v>
      </c>
      <c r="BM3" s="163" t="s">
        <v>129</v>
      </c>
      <c r="BN3" s="163" t="s">
        <v>130</v>
      </c>
      <c r="BO3" s="168" t="s">
        <v>131</v>
      </c>
      <c r="BP3" s="163" t="s">
        <v>132</v>
      </c>
      <c r="BQ3" s="163" t="s">
        <v>133</v>
      </c>
      <c r="BR3" s="169" t="s">
        <v>134</v>
      </c>
      <c r="BS3" s="419"/>
      <c r="BT3" s="419"/>
      <c r="BU3" s="418"/>
      <c r="BV3" s="422"/>
      <c r="BW3" s="424"/>
    </row>
    <row r="4" spans="1:75" s="159" customFormat="1" x14ac:dyDescent="0.2">
      <c r="A4" s="170">
        <f>Anketa!G7</f>
        <v>0</v>
      </c>
      <c r="B4" s="170" t="str">
        <f>Anketa!G5&amp;" "&amp;Anketa!D5</f>
        <v xml:space="preserve"> </v>
      </c>
      <c r="C4" s="170" t="str">
        <f>Anketa!X13</f>
        <v/>
      </c>
      <c r="D4" s="170" t="e">
        <f>Anketa!#REF!</f>
        <v>#REF!</v>
      </c>
      <c r="E4" s="170" t="e">
        <f>Anketa!#REF!</f>
        <v>#REF!</v>
      </c>
      <c r="F4" s="170" t="str">
        <f>IF(Anketa!Q15,Anketa!X15,"")</f>
        <v/>
      </c>
      <c r="G4" s="170" t="str">
        <f>IF(Anketa!R15,Anketa!X15,"")</f>
        <v/>
      </c>
      <c r="H4" s="170" t="e">
        <f>IF(Anketa!#REF!,Anketa!X15,"")</f>
        <v>#REF!</v>
      </c>
      <c r="I4" s="170" t="str">
        <f>IF(Anketa!R24,Anketa!X24,"")</f>
        <v/>
      </c>
      <c r="J4" s="170" t="e">
        <f>IF(Anketa!#REF!,Anketa!X24,"")</f>
        <v>#REF!</v>
      </c>
      <c r="K4" s="170" t="e">
        <f>IF(Anketa!#REF!,Anketa!#REF!,"")</f>
        <v>#REF!</v>
      </c>
      <c r="L4" s="170" t="e">
        <f>IF(Anketa!#REF!,Anketa!#REF!,"")</f>
        <v>#REF!</v>
      </c>
      <c r="M4" s="170" t="e">
        <f>IF(Anketa!#REF!,Anketa!#REF!,"")</f>
        <v>#REF!</v>
      </c>
      <c r="N4" s="170" t="e">
        <f>IF(Anketa!#REF!,Anketa!#REF!,"")</f>
        <v>#REF!</v>
      </c>
      <c r="O4" s="170" t="str">
        <f>IF(Anketa!Q25,Anketa!X25,"")</f>
        <v/>
      </c>
      <c r="P4" s="170" t="str">
        <f>IF(Anketa!R25,Anketa!X25,"")</f>
        <v/>
      </c>
      <c r="Q4" s="170" t="e">
        <f>IF(Anketa!#REF!,Anketa!X25,"")</f>
        <v>#REF!</v>
      </c>
      <c r="R4" s="170" t="str">
        <f>IF(Anketa!Q26,Anketa!X26,"")</f>
        <v/>
      </c>
      <c r="S4" s="170" t="str">
        <f>IF(Anketa!R26,Anketa!X26,"")</f>
        <v/>
      </c>
      <c r="T4" s="170" t="e">
        <f>IF(Anketa!#REF!,Anketa!#REF!,"")</f>
        <v>#REF!</v>
      </c>
      <c r="U4" s="170" t="e">
        <f>IF(Anketa!#REF!,Anketa!#REF!,"")</f>
        <v>#REF!</v>
      </c>
      <c r="V4" s="170" t="e">
        <f>IF(Anketa!#REF!,Anketa!#REF!,"")</f>
        <v>#REF!</v>
      </c>
      <c r="W4" s="170" t="str">
        <f>IF(Anketa!Q27,Anketa!X27,"")</f>
        <v/>
      </c>
      <c r="X4" s="170" t="str">
        <f>IF(Anketa!R27,Anketa!X27,"")</f>
        <v/>
      </c>
      <c r="Y4" s="170" t="str">
        <f>IF(Anketa!Q28,Anketa!X28,"")</f>
        <v/>
      </c>
      <c r="Z4" s="170" t="str">
        <f>IF(Anketa!R28,Anketa!X28,"")</f>
        <v/>
      </c>
      <c r="AA4" s="170" t="str">
        <f>IF(Anketa!Q29,Anketa!X29,"")</f>
        <v/>
      </c>
      <c r="AB4" s="170" t="str">
        <f>IF(Anketa!R29,Anketa!X29,"")</f>
        <v/>
      </c>
      <c r="AC4" s="170" t="str">
        <f>IF(Anketa!Q30,Anketa!X30,"")</f>
        <v/>
      </c>
      <c r="AD4" s="170" t="str">
        <f>IF(Anketa!R30,Anketa!X30,"")</f>
        <v/>
      </c>
      <c r="AE4" s="170" t="e">
        <f>Anketa!#REF!</f>
        <v>#REF!</v>
      </c>
      <c r="AF4" s="170" t="e">
        <f>IF(Anketa!#REF!,Anketa!#REF!,"")</f>
        <v>#REF!</v>
      </c>
      <c r="AG4" s="170" t="e">
        <f>IF(Anketa!#REF!,Anketa!#REF!,"")</f>
        <v>#REF!</v>
      </c>
      <c r="AH4" s="170" t="e">
        <f>IF(Anketa!#REF!,Anketa!#REF!,"")</f>
        <v>#REF!</v>
      </c>
      <c r="AI4" s="170" t="e">
        <f>IF(Anketa!#REF!,Anketa!#REF!,"")</f>
        <v>#REF!</v>
      </c>
      <c r="AJ4" s="170" t="e">
        <f>Anketa!#REF!</f>
        <v>#REF!</v>
      </c>
      <c r="AK4" s="170" t="e">
        <f>Anketa!#REF!</f>
        <v>#REF!</v>
      </c>
      <c r="AL4" s="170" t="e">
        <f>Anketa!#REF!</f>
        <v>#REF!</v>
      </c>
      <c r="AM4" s="170" t="e">
        <f>Anketa!#REF!</f>
        <v>#REF!</v>
      </c>
      <c r="AN4" s="170" t="e">
        <f>Anketa!#REF!</f>
        <v>#REF!</v>
      </c>
      <c r="AO4" s="170" t="e">
        <f>Anketa!#REF!</f>
        <v>#REF!</v>
      </c>
      <c r="AP4" s="170" t="e">
        <f>Anketa!#REF!</f>
        <v>#REF!</v>
      </c>
      <c r="AQ4" s="170" t="e">
        <f>Anketa!#REF!</f>
        <v>#REF!</v>
      </c>
      <c r="AR4" s="170" t="e">
        <f>IF(Anketa!#REF!,Anketa!#REF!,"")</f>
        <v>#REF!</v>
      </c>
      <c r="AS4" s="170" t="e">
        <f>IF(Anketa!#REF!,Anketa!#REF!,"")</f>
        <v>#REF!</v>
      </c>
      <c r="AT4" s="170" t="e">
        <f>IF(Anketa!#REF!,Anketa!#REF!,"")</f>
        <v>#REF!</v>
      </c>
      <c r="AU4" s="170" t="e">
        <f>IF(Anketa!#REF!,Anketa!#REF!,"")</f>
        <v>#REF!</v>
      </c>
      <c r="AV4" s="170" t="e">
        <f>Anketa!#REF!</f>
        <v>#REF!</v>
      </c>
      <c r="AW4" s="170" t="e">
        <f>Anketa!#REF!</f>
        <v>#REF!</v>
      </c>
      <c r="AX4" s="170" t="e">
        <f>Anketa!#REF!</f>
        <v>#REF!</v>
      </c>
      <c r="AY4" s="170" t="e">
        <f>Anketa!#REF!</f>
        <v>#REF!</v>
      </c>
      <c r="AZ4" s="170" t="e">
        <f>Anketa!#REF!</f>
        <v>#REF!</v>
      </c>
      <c r="BA4" s="170" t="e">
        <f>Anketa!#REF!</f>
        <v>#REF!</v>
      </c>
      <c r="BB4" s="171" t="e">
        <f>Anketa!#REF!</f>
        <v>#REF!</v>
      </c>
      <c r="BC4" s="170" t="e">
        <f>Anketa!#REF!</f>
        <v>#REF!</v>
      </c>
      <c r="BD4" s="170" t="e">
        <f>Anketa!#REF!</f>
        <v>#REF!</v>
      </c>
      <c r="BE4" s="170" t="e">
        <f>Anketa!#REF!</f>
        <v>#REF!</v>
      </c>
      <c r="BF4" s="170" t="e">
        <f>Anketa!#REF!</f>
        <v>#REF!</v>
      </c>
      <c r="BG4" s="170" t="e">
        <f>Anketa!#REF!</f>
        <v>#REF!</v>
      </c>
      <c r="BH4" s="170" t="e">
        <f>Anketa!#REF!</f>
        <v>#REF!</v>
      </c>
      <c r="BI4" s="170" t="e">
        <f>Anketa!#REF!</f>
        <v>#REF!</v>
      </c>
      <c r="BJ4" s="170" t="e">
        <f>Anketa!#REF!</f>
        <v>#REF!</v>
      </c>
      <c r="BK4" s="170" t="e">
        <f>Anketa!#REF!</f>
        <v>#REF!</v>
      </c>
      <c r="BL4" s="170" t="e">
        <f>Anketa!#REF!</f>
        <v>#REF!</v>
      </c>
      <c r="BM4" s="170" t="str">
        <f>Anketa!X54</f>
        <v/>
      </c>
      <c r="BN4" s="170" t="str">
        <f>Anketa!X56</f>
        <v/>
      </c>
      <c r="BO4" s="170" t="e">
        <f>Anketa!#REF!</f>
        <v>#REF!</v>
      </c>
      <c r="BP4" s="170" t="e">
        <f>Anketa!#REF!</f>
        <v>#REF!</v>
      </c>
      <c r="BQ4" s="170" t="e">
        <f>Anketa!#REF!</f>
        <v>#REF!</v>
      </c>
      <c r="BR4" s="172" t="e">
        <f>Anketa!#REF!</f>
        <v>#REF!</v>
      </c>
      <c r="BS4" s="170" t="e">
        <f>Anketa!#REF!</f>
        <v>#REF!</v>
      </c>
      <c r="BT4" s="170" t="e">
        <f>Anketa!#REF!</f>
        <v>#REF!</v>
      </c>
      <c r="BU4" s="170" t="e">
        <f>SUM(C4:BT4)</f>
        <v>#REF!</v>
      </c>
      <c r="BV4" s="173">
        <f>Anketa!D68</f>
        <v>0</v>
      </c>
      <c r="BW4" s="170">
        <f>Anketa!D74</f>
        <v>0</v>
      </c>
    </row>
  </sheetData>
  <sheetProtection selectLockedCells="1" selectUnlockedCells="1"/>
  <mergeCells count="39">
    <mergeCell ref="A1:A3"/>
    <mergeCell ref="B1:B3"/>
    <mergeCell ref="C1:AQ1"/>
    <mergeCell ref="AR1:BH1"/>
    <mergeCell ref="C2:D2"/>
    <mergeCell ref="F2:F3"/>
    <mergeCell ref="G2:G3"/>
    <mergeCell ref="H2:H3"/>
    <mergeCell ref="I2:N2"/>
    <mergeCell ref="O2:S2"/>
    <mergeCell ref="AV2:AV3"/>
    <mergeCell ref="AW2:AW3"/>
    <mergeCell ref="AX2:AX3"/>
    <mergeCell ref="AY2:AY3"/>
    <mergeCell ref="T2:T3"/>
    <mergeCell ref="U2:U3"/>
    <mergeCell ref="BV1:BV3"/>
    <mergeCell ref="BW1:BW3"/>
    <mergeCell ref="BJ2:BK2"/>
    <mergeCell ref="BN2:BO2"/>
    <mergeCell ref="BQ2:BR2"/>
    <mergeCell ref="BS2:BS3"/>
    <mergeCell ref="BT2:BT3"/>
    <mergeCell ref="BK1:BR1"/>
    <mergeCell ref="BU1:BU3"/>
    <mergeCell ref="V2:V3"/>
    <mergeCell ref="W2:AB2"/>
    <mergeCell ref="AC2:AJ2"/>
    <mergeCell ref="AK2:AO2"/>
    <mergeCell ref="AP2:AQ2"/>
    <mergeCell ref="AR2:AU2"/>
    <mergeCell ref="BG2:BG3"/>
    <mergeCell ref="BH2:BH3"/>
    <mergeCell ref="BA2:BA3"/>
    <mergeCell ref="BB2:BB3"/>
    <mergeCell ref="BC2:BC3"/>
    <mergeCell ref="BD2:BD3"/>
    <mergeCell ref="BE2:BE3"/>
    <mergeCell ref="BF2:BF3"/>
  </mergeCells>
  <phoneticPr fontId="36" type="noConversion"/>
  <pageMargins left="0.39374999999999999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Anketa</vt:lpstr>
      <vt:lpstr>Eilute</vt:lpstr>
      <vt:lpstr>Anketa!Print_Area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Almantas Gaižauskas</cp:lastModifiedBy>
  <cp:lastPrinted>2019-04-29T06:06:10Z</cp:lastPrinted>
  <dcterms:created xsi:type="dcterms:W3CDTF">2016-02-03T18:03:50Z</dcterms:created>
  <dcterms:modified xsi:type="dcterms:W3CDTF">2021-04-13T05:40:52Z</dcterms:modified>
</cp:coreProperties>
</file>