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T Specialistas\Downloads\"/>
    </mc:Choice>
  </mc:AlternateContent>
  <bookViews>
    <workbookView xWindow="0" yWindow="0" windowWidth="28800" windowHeight="12435"/>
  </bookViews>
  <sheets>
    <sheet name="Anketa" sheetId="1" r:id="rId1"/>
    <sheet name="Eilute" sheetId="2" state="hidden" r:id="rId2"/>
  </sheets>
  <definedNames>
    <definedName name="_xlnm.Print_Area" localSheetId="0">Anketa!$A$1:$K$79</definedName>
  </definedNames>
  <calcPr calcId="152511"/>
</workbook>
</file>

<file path=xl/calcChain.xml><?xml version="1.0" encoding="utf-8"?>
<calcChain xmlns="http://schemas.openxmlformats.org/spreadsheetml/2006/main">
  <c r="W40" i="1" l="1"/>
  <c r="W39" i="1"/>
  <c r="W38" i="1"/>
  <c r="W37" i="1"/>
  <c r="S34" i="1" l="1"/>
  <c r="S57" i="1" l="1"/>
  <c r="U57" i="1" s="1"/>
  <c r="W57" i="1" s="1"/>
  <c r="S52" i="1"/>
  <c r="U52" i="1" s="1"/>
  <c r="W52" i="1" s="1"/>
  <c r="P52" i="1"/>
  <c r="V57" i="1" l="1"/>
  <c r="F57" i="1" s="1"/>
  <c r="X57" i="1"/>
  <c r="G57" i="1" s="1"/>
  <c r="V52" i="1"/>
  <c r="F52" i="1" s="1"/>
  <c r="Y52" i="1"/>
  <c r="H52" i="1" s="1"/>
  <c r="P57" i="1"/>
  <c r="L49" i="1" l="1"/>
  <c r="L16" i="1"/>
  <c r="L15" i="1"/>
  <c r="S58" i="1" l="1"/>
  <c r="W45" i="1"/>
  <c r="V45" i="1" s="1"/>
  <c r="F45" i="1" s="1"/>
  <c r="S45" i="1"/>
  <c r="P45" i="1"/>
  <c r="W44" i="1"/>
  <c r="V44" i="1" s="1"/>
  <c r="U58" i="1" l="1"/>
  <c r="Y45" i="1"/>
  <c r="H45" i="1" s="1"/>
  <c r="X45" i="1"/>
  <c r="G45" i="1" s="1"/>
  <c r="Y44" i="1"/>
  <c r="X44" i="1"/>
  <c r="S39" i="1"/>
  <c r="P39" i="1"/>
  <c r="W58" i="1" l="1"/>
  <c r="X58" i="1" s="1"/>
  <c r="W22" i="1"/>
  <c r="X22" i="1" s="1"/>
  <c r="AB4" i="2" s="1"/>
  <c r="W20" i="1"/>
  <c r="V20" i="1" s="1"/>
  <c r="L52" i="1" s="1"/>
  <c r="W16" i="1"/>
  <c r="Y16" i="1" s="1"/>
  <c r="W15" i="1"/>
  <c r="X15" i="1" s="1"/>
  <c r="G4" i="2" s="1"/>
  <c r="W17" i="1"/>
  <c r="X17" i="1" s="1"/>
  <c r="P58" i="1"/>
  <c r="U27" i="1"/>
  <c r="S27" i="1"/>
  <c r="S16" i="1"/>
  <c r="P16" i="1"/>
  <c r="U13" i="1"/>
  <c r="P34" i="1"/>
  <c r="S32" i="1"/>
  <c r="S33" i="1"/>
  <c r="S40" i="1"/>
  <c r="S38" i="1"/>
  <c r="S37" i="1"/>
  <c r="S15" i="1"/>
  <c r="P15" i="1"/>
  <c r="U26" i="1"/>
  <c r="U25" i="1"/>
  <c r="P33" i="1"/>
  <c r="P32" i="1"/>
  <c r="S28" i="1"/>
  <c r="P46" i="1"/>
  <c r="S46" i="1"/>
  <c r="W46" i="1"/>
  <c r="V46" i="1" s="1"/>
  <c r="F46" i="1" s="1"/>
  <c r="S25" i="1"/>
  <c r="S24" i="1"/>
  <c r="S26" i="1"/>
  <c r="S23" i="1"/>
  <c r="S18" i="1"/>
  <c r="S19" i="1"/>
  <c r="S29" i="1"/>
  <c r="U23" i="1"/>
  <c r="U24" i="1"/>
  <c r="U14" i="1"/>
  <c r="U20" i="1"/>
  <c r="U19" i="1"/>
  <c r="U18" i="1"/>
  <c r="S17" i="1"/>
  <c r="L17" i="1" s="1"/>
  <c r="U21" i="1"/>
  <c r="S50" i="1"/>
  <c r="S49" i="1"/>
  <c r="P50" i="1"/>
  <c r="S53" i="1"/>
  <c r="S55" i="1"/>
  <c r="S54" i="1"/>
  <c r="S51" i="1"/>
  <c r="P55" i="1"/>
  <c r="W21" i="1"/>
  <c r="X21" i="1" s="1"/>
  <c r="Z4" i="2" s="1"/>
  <c r="W43" i="1"/>
  <c r="X43" i="1" s="1"/>
  <c r="G43" i="1" s="1"/>
  <c r="H44" i="1"/>
  <c r="S59" i="1"/>
  <c r="S56" i="1"/>
  <c r="P13" i="1"/>
  <c r="P14" i="1"/>
  <c r="P17" i="1"/>
  <c r="P18" i="1"/>
  <c r="P19" i="1"/>
  <c r="U22" i="1"/>
  <c r="P20" i="1"/>
  <c r="S20" i="1"/>
  <c r="S21" i="1"/>
  <c r="S22" i="1"/>
  <c r="P21" i="1"/>
  <c r="P22" i="1"/>
  <c r="E23" i="1"/>
  <c r="P23" i="1"/>
  <c r="P24" i="1"/>
  <c r="P25" i="1"/>
  <c r="P26" i="1"/>
  <c r="P28" i="1"/>
  <c r="P29" i="1"/>
  <c r="P37" i="1"/>
  <c r="P38" i="1"/>
  <c r="P40" i="1"/>
  <c r="P43" i="1"/>
  <c r="S43" i="1"/>
  <c r="P44" i="1"/>
  <c r="S44" i="1"/>
  <c r="P49" i="1"/>
  <c r="P59" i="1"/>
  <c r="P56" i="1"/>
  <c r="P51" i="1"/>
  <c r="P54" i="1"/>
  <c r="P53" i="1"/>
  <c r="C76" i="1"/>
  <c r="Q349" i="1"/>
  <c r="Q672" i="1"/>
  <c r="A4" i="2"/>
  <c r="B4" i="2"/>
  <c r="D4" i="2"/>
  <c r="E4" i="2"/>
  <c r="H4" i="2"/>
  <c r="I4" i="2"/>
  <c r="J4" i="2"/>
  <c r="K4" i="2"/>
  <c r="L4" i="2"/>
  <c r="M4" i="2"/>
  <c r="N4" i="2"/>
  <c r="Q4" i="2"/>
  <c r="V4" i="2"/>
  <c r="AE4" i="2"/>
  <c r="AF4" i="2"/>
  <c r="AG4" i="2"/>
  <c r="AH4" i="2"/>
  <c r="AI4" i="2"/>
  <c r="AK4" i="2"/>
  <c r="AL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C4" i="2"/>
  <c r="BD4" i="2"/>
  <c r="BE4" i="2"/>
  <c r="BF4" i="2"/>
  <c r="BG4" i="2"/>
  <c r="BH4" i="2"/>
  <c r="BI4" i="2"/>
  <c r="BJ4" i="2"/>
  <c r="BK4" i="2"/>
  <c r="BL4" i="2"/>
  <c r="BO4" i="2"/>
  <c r="BP4" i="2"/>
  <c r="BQ4" i="2"/>
  <c r="BR4" i="2"/>
  <c r="BS4" i="2"/>
  <c r="BT4" i="2"/>
  <c r="BB4" i="2"/>
  <c r="BA4" i="2"/>
  <c r="AM4" i="2"/>
  <c r="U4" i="2"/>
  <c r="G44" i="1"/>
  <c r="T4" i="2"/>
  <c r="F44" i="1"/>
  <c r="T32" i="1" l="1"/>
  <c r="W32" i="1" s="1"/>
  <c r="T34" i="1"/>
  <c r="W34" i="1" s="1"/>
  <c r="T33" i="1"/>
  <c r="W33" i="1" s="1"/>
  <c r="Y33" i="1" s="1"/>
  <c r="L32" i="1"/>
  <c r="Y58" i="1"/>
  <c r="H58" i="1" s="1"/>
  <c r="V58" i="1"/>
  <c r="F58" i="1" s="1"/>
  <c r="U49" i="1"/>
  <c r="W49" i="1" s="1"/>
  <c r="L18" i="1"/>
  <c r="L20" i="1"/>
  <c r="U59" i="1"/>
  <c r="W59" i="1" s="1"/>
  <c r="Y59" i="1" s="1"/>
  <c r="H59" i="1" s="1"/>
  <c r="U53" i="1"/>
  <c r="W53" i="1" s="1"/>
  <c r="X53" i="1" s="1"/>
  <c r="U51" i="1"/>
  <c r="W51" i="1" s="1"/>
  <c r="X51" i="1" s="1"/>
  <c r="L51" i="1"/>
  <c r="U54" i="1"/>
  <c r="W54" i="1" s="1"/>
  <c r="V54" i="1" s="1"/>
  <c r="F54" i="1" s="1"/>
  <c r="U56" i="1"/>
  <c r="W56" i="1" s="1"/>
  <c r="U55" i="1"/>
  <c r="W55" i="1" s="1"/>
  <c r="Y43" i="1"/>
  <c r="H43" i="1" s="1"/>
  <c r="Y46" i="1"/>
  <c r="H46" i="1" s="1"/>
  <c r="L28" i="1"/>
  <c r="U50" i="1"/>
  <c r="X37" i="1"/>
  <c r="G37" i="1" s="1"/>
  <c r="L23" i="1"/>
  <c r="T29" i="1"/>
  <c r="W29" i="1" s="1"/>
  <c r="Y29" i="1" s="1"/>
  <c r="H29" i="1" s="1"/>
  <c r="Y22" i="1"/>
  <c r="H22" i="1" s="1"/>
  <c r="V43" i="1"/>
  <c r="F43" i="1" s="1"/>
  <c r="X46" i="1"/>
  <c r="G46" i="1" s="1"/>
  <c r="V22" i="1"/>
  <c r="F22" i="1" s="1"/>
  <c r="T28" i="1"/>
  <c r="W28" i="1" s="1"/>
  <c r="Y28" i="1" s="1"/>
  <c r="H28" i="1" s="1"/>
  <c r="T24" i="1"/>
  <c r="W24" i="1" s="1"/>
  <c r="T23" i="1"/>
  <c r="W23" i="1" s="1"/>
  <c r="T26" i="1"/>
  <c r="W26" i="1" s="1"/>
  <c r="T25" i="1"/>
  <c r="W25" i="1" s="1"/>
  <c r="T27" i="1"/>
  <c r="W27" i="1" s="1"/>
  <c r="G22" i="1"/>
  <c r="AA4" i="2"/>
  <c r="T22" i="1"/>
  <c r="G21" i="1"/>
  <c r="Y4" i="2"/>
  <c r="Y21" i="1"/>
  <c r="H21" i="1" s="1"/>
  <c r="V21" i="1"/>
  <c r="F21" i="1" s="1"/>
  <c r="X20" i="1"/>
  <c r="W4" i="2" s="1"/>
  <c r="T21" i="1"/>
  <c r="Y20" i="1"/>
  <c r="H20" i="1" s="1"/>
  <c r="F20" i="1"/>
  <c r="T20" i="1"/>
  <c r="T19" i="1"/>
  <c r="V17" i="1"/>
  <c r="F17" i="1" s="1"/>
  <c r="V16" i="1"/>
  <c r="L55" i="1" s="1"/>
  <c r="T18" i="1"/>
  <c r="X16" i="1"/>
  <c r="G16" i="1" s="1"/>
  <c r="H16" i="1"/>
  <c r="Y15" i="1"/>
  <c r="H15" i="1" s="1"/>
  <c r="T13" i="1"/>
  <c r="S13" i="1" s="1"/>
  <c r="Y17" i="1"/>
  <c r="H17" i="1" s="1"/>
  <c r="G17" i="1"/>
  <c r="V15" i="1"/>
  <c r="L59" i="1" s="1"/>
  <c r="F4" i="2"/>
  <c r="G15" i="1"/>
  <c r="L13" i="1"/>
  <c r="T14" i="1"/>
  <c r="S14" i="1" s="1"/>
  <c r="Y34" i="1" l="1"/>
  <c r="H34" i="1" s="1"/>
  <c r="X34" i="1"/>
  <c r="G34" i="1" s="1"/>
  <c r="V34" i="1"/>
  <c r="F34" i="1" s="1"/>
  <c r="V33" i="1"/>
  <c r="F33" i="1" s="1"/>
  <c r="L50" i="1"/>
  <c r="Y49" i="1"/>
  <c r="H49" i="1" s="1"/>
  <c r="V49" i="1"/>
  <c r="F49" i="1" s="1"/>
  <c r="X49" i="1"/>
  <c r="G49" i="1" s="1"/>
  <c r="V59" i="1"/>
  <c r="F59" i="1" s="1"/>
  <c r="X59" i="1"/>
  <c r="G59" i="1" s="1"/>
  <c r="L54" i="1"/>
  <c r="Y53" i="1"/>
  <c r="H53" i="1" s="1"/>
  <c r="V53" i="1"/>
  <c r="F53" i="1" s="1"/>
  <c r="L53" i="1"/>
  <c r="G53" i="1"/>
  <c r="BN4" i="2"/>
  <c r="V51" i="1"/>
  <c r="F51" i="1" s="1"/>
  <c r="G51" i="1"/>
  <c r="W50" i="1"/>
  <c r="V50" i="1" s="1"/>
  <c r="F50" i="1" s="1"/>
  <c r="L56" i="1"/>
  <c r="Y54" i="1"/>
  <c r="H54" i="1" s="1"/>
  <c r="Y56" i="1"/>
  <c r="H56" i="1" s="1"/>
  <c r="X56" i="1"/>
  <c r="F16" i="1"/>
  <c r="V55" i="1"/>
  <c r="F55" i="1" s="1"/>
  <c r="X55" i="1"/>
  <c r="G55" i="1" s="1"/>
  <c r="V56" i="1"/>
  <c r="F56" i="1" s="1"/>
  <c r="X33" i="1"/>
  <c r="G33" i="1" s="1"/>
  <c r="H33" i="1"/>
  <c r="Y40" i="1"/>
  <c r="H40" i="1" s="1"/>
  <c r="V40" i="1"/>
  <c r="F40" i="1" s="1"/>
  <c r="X40" i="1"/>
  <c r="G40" i="1" s="1"/>
  <c r="V39" i="1"/>
  <c r="F39" i="1" s="1"/>
  <c r="X39" i="1"/>
  <c r="G39" i="1" s="1"/>
  <c r="Y39" i="1"/>
  <c r="H39" i="1" s="1"/>
  <c r="V38" i="1"/>
  <c r="F38" i="1" s="1"/>
  <c r="X32" i="1"/>
  <c r="G32" i="1" s="1"/>
  <c r="Y38" i="1"/>
  <c r="H38" i="1" s="1"/>
  <c r="V37" i="1"/>
  <c r="F37" i="1" s="1"/>
  <c r="X38" i="1"/>
  <c r="G38" i="1" s="1"/>
  <c r="Y37" i="1"/>
  <c r="H37" i="1" s="1"/>
  <c r="X29" i="1"/>
  <c r="G29" i="1" s="1"/>
  <c r="V29" i="1"/>
  <c r="F29" i="1" s="1"/>
  <c r="V28" i="1"/>
  <c r="F28" i="1" s="1"/>
  <c r="X28" i="1"/>
  <c r="G28" i="1" s="1"/>
  <c r="Y24" i="1"/>
  <c r="H24" i="1" s="1"/>
  <c r="X24" i="1"/>
  <c r="G24" i="1" s="1"/>
  <c r="V24" i="1"/>
  <c r="F24" i="1" s="1"/>
  <c r="X25" i="1"/>
  <c r="G25" i="1" s="1"/>
  <c r="V25" i="1"/>
  <c r="F25" i="1" s="1"/>
  <c r="Y25" i="1"/>
  <c r="H25" i="1" s="1"/>
  <c r="V26" i="1"/>
  <c r="F26" i="1" s="1"/>
  <c r="Y26" i="1"/>
  <c r="H26" i="1" s="1"/>
  <c r="X26" i="1"/>
  <c r="G26" i="1" s="1"/>
  <c r="Y27" i="1"/>
  <c r="H27" i="1" s="1"/>
  <c r="X27" i="1"/>
  <c r="G27" i="1" s="1"/>
  <c r="V27" i="1"/>
  <c r="F27" i="1" s="1"/>
  <c r="X23" i="1"/>
  <c r="AD4" i="2" s="1"/>
  <c r="V23" i="1"/>
  <c r="F23" i="1" s="1"/>
  <c r="Y23" i="1"/>
  <c r="H23" i="1" s="1"/>
  <c r="AJ4" i="2"/>
  <c r="G20" i="1"/>
  <c r="X4" i="2"/>
  <c r="W19" i="1"/>
  <c r="Y19" i="1" s="1"/>
  <c r="H19" i="1" s="1"/>
  <c r="W18" i="1"/>
  <c r="Y18" i="1" s="1"/>
  <c r="H18" i="1" s="1"/>
  <c r="W13" i="1"/>
  <c r="Y13" i="1" s="1"/>
  <c r="H13" i="1" s="1"/>
  <c r="F15" i="1"/>
  <c r="W14" i="1"/>
  <c r="Y14" i="1" s="1"/>
  <c r="H14" i="1" s="1"/>
  <c r="BM4" i="2" l="1"/>
  <c r="Y50" i="1"/>
  <c r="H50" i="1" s="1"/>
  <c r="X50" i="1"/>
  <c r="G50" i="1" s="1"/>
  <c r="V32" i="1"/>
  <c r="F32" i="1" s="1"/>
  <c r="Y32" i="1"/>
  <c r="H32" i="1" s="1"/>
  <c r="AC4" i="2"/>
  <c r="G23" i="1"/>
  <c r="X19" i="1"/>
  <c r="R4" i="2" s="1"/>
  <c r="V19" i="1"/>
  <c r="F19" i="1" s="1"/>
  <c r="X18" i="1"/>
  <c r="P4" i="2" s="1"/>
  <c r="V18" i="1"/>
  <c r="L57" i="1" s="1"/>
  <c r="X13" i="1"/>
  <c r="G13" i="1" s="1"/>
  <c r="V13" i="1"/>
  <c r="F13" i="1" s="1"/>
  <c r="X14" i="1"/>
  <c r="G14" i="1" s="1"/>
  <c r="V14" i="1"/>
  <c r="F18" i="1" l="1"/>
  <c r="L58" i="1"/>
  <c r="D69" i="1"/>
  <c r="E69" i="1" s="1"/>
  <c r="G19" i="1"/>
  <c r="S4" i="2"/>
  <c r="G18" i="1"/>
  <c r="O4" i="2"/>
  <c r="C4" i="2"/>
  <c r="BU4" i="2" s="1"/>
  <c r="F14" i="1"/>
  <c r="D65" i="1"/>
  <c r="E65" i="1" s="1"/>
  <c r="D71" i="1"/>
  <c r="BW4" i="2" s="1"/>
  <c r="D73" i="1"/>
  <c r="M7" i="1" l="1"/>
  <c r="N7" i="1" s="1"/>
  <c r="D67" i="1"/>
  <c r="E67" i="1" s="1"/>
  <c r="BV4" i="2"/>
  <c r="M3" i="1"/>
  <c r="N3" i="1" s="1"/>
  <c r="M5" i="1" l="1"/>
  <c r="N5" i="1" s="1"/>
</calcChain>
</file>

<file path=xl/sharedStrings.xml><?xml version="1.0" encoding="utf-8"?>
<sst xmlns="http://schemas.openxmlformats.org/spreadsheetml/2006/main" count="200" uniqueCount="165">
  <si>
    <t>Iš viso dalykų:</t>
  </si>
  <si>
    <t>Vardas</t>
  </si>
  <si>
    <t>Pavardė</t>
  </si>
  <si>
    <t>Pamokų skaičius III klasėje:</t>
  </si>
  <si>
    <t>Klasė</t>
  </si>
  <si>
    <t>Pamokų skaičius IV klasėje: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</si>
  <si>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.</t>
    </r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</si>
  <si>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</si>
  <si>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</si>
  <si>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</si>
  <si>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</si>
  <si>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</si>
  <si>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</si>
  <si>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</si>
  <si>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</si>
  <si>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</si>
  <si>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</si>
  <si>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</si>
  <si>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</si>
  <si>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</si>
  <si>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</si>
  <si>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</si>
  <si>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Dorinis ugdymas</t>
  </si>
  <si>
    <t>Etika</t>
  </si>
  <si>
    <t>–</t>
  </si>
  <si>
    <t>Tikyba</t>
  </si>
  <si>
    <t>Gimtoji kalba</t>
  </si>
  <si>
    <t>Lietuvių kalba ir literatūra</t>
  </si>
  <si>
    <t>Užsienio kalba</t>
  </si>
  <si>
    <t>Socialinis ugdymas</t>
  </si>
  <si>
    <t>Istorija</t>
  </si>
  <si>
    <t>Geografija</t>
  </si>
  <si>
    <t>Matematika</t>
  </si>
  <si>
    <t>Informacinės technologijos</t>
  </si>
  <si>
    <t>Elektroninė leidyba</t>
  </si>
  <si>
    <t>Programavimas</t>
  </si>
  <si>
    <t>Gamtamokslinis ugdymas</t>
  </si>
  <si>
    <t>Biologija</t>
  </si>
  <si>
    <t>Chemija</t>
  </si>
  <si>
    <t>Fizika</t>
  </si>
  <si>
    <t>Dailė</t>
  </si>
  <si>
    <t>Grafinis dizainas</t>
  </si>
  <si>
    <t>Muzika</t>
  </si>
  <si>
    <t>Teatras</t>
  </si>
  <si>
    <t>Kūno kultūra</t>
  </si>
  <si>
    <t>Bendroji kūno kultūra</t>
  </si>
  <si>
    <r>
      <t>PASIRENKAMIEJI DALYKAI</t>
    </r>
    <r>
      <rPr>
        <sz val="11"/>
        <rFont val="Times New Roman"/>
        <family val="1"/>
        <charset val="186"/>
      </rPr>
      <t>, įskaičiuojami į dalykų ir pamokų skaičių</t>
    </r>
  </si>
  <si>
    <t>Kalbos</t>
  </si>
  <si>
    <t>Užsienio kalba (prancūzų) (2-oji)</t>
  </si>
  <si>
    <t>Užsienio kalba (rusų) (2-oji)</t>
  </si>
  <si>
    <t>Užsienio kalba (vokiečių) (2-oji)</t>
  </si>
  <si>
    <t>Braižyba</t>
  </si>
  <si>
    <t>Ekonomika ir verslumas</t>
  </si>
  <si>
    <t>Prancūzų kalba pradedantiesiems</t>
  </si>
  <si>
    <t>Psichologija</t>
  </si>
  <si>
    <r>
      <t>MODULIAI</t>
    </r>
    <r>
      <rPr>
        <sz val="11"/>
        <rFont val="Times New Roman"/>
        <family val="1"/>
        <charset val="186"/>
      </rPr>
      <t>, įskaičiuojami į pamokų skaičių, bet neįskaičiuojami į dalykų skaičių</t>
    </r>
  </si>
  <si>
    <t>Anglų kalba</t>
  </si>
  <si>
    <t>Lietuvių kalba</t>
  </si>
  <si>
    <t>Pamokų skaičius 
III klasėje:</t>
  </si>
  <si>
    <t>Pamokų skaičius 
IV klasėje:</t>
  </si>
  <si>
    <t>A kursu (išplėstiniu):</t>
  </si>
  <si>
    <t>B kursu (bendruoju):</t>
  </si>
  <si>
    <t>Data</t>
  </si>
  <si>
    <t>Mokinio parašas</t>
  </si>
  <si>
    <t>Tėvų parašas</t>
  </si>
  <si>
    <t>Pavardė, vardas</t>
  </si>
  <si>
    <t>Branduolio dalykai</t>
  </si>
  <si>
    <t>Iš viso val.</t>
  </si>
  <si>
    <t>Dalykų skaičius</t>
  </si>
  <si>
    <t>A kursu</t>
  </si>
  <si>
    <t>Lietuvių kalba B</t>
  </si>
  <si>
    <t>Lietuvių A 5 val.</t>
  </si>
  <si>
    <t>Lietuvių A 6 val.</t>
  </si>
  <si>
    <t>I užsienio kalba</t>
  </si>
  <si>
    <t>Matematika B</t>
  </si>
  <si>
    <t>Matematika A 5 val.</t>
  </si>
  <si>
    <t>Matematika A 6 val.</t>
  </si>
  <si>
    <t>Menai</t>
  </si>
  <si>
    <t>Technologijos</t>
  </si>
  <si>
    <t>II užsienio kalba</t>
  </si>
  <si>
    <t>Informacinės technologijos B</t>
  </si>
  <si>
    <r>
      <t>Informacinės technologijos A</t>
    </r>
    <r>
      <rPr>
        <sz val="8"/>
        <rFont val="Arial"/>
        <family val="2"/>
        <charset val="186"/>
      </rPr>
      <t xml:space="preserve"> (programavimas)</t>
    </r>
  </si>
  <si>
    <r>
      <t>Informacinės technologijos A</t>
    </r>
    <r>
      <rPr>
        <sz val="8"/>
        <rFont val="Arial"/>
        <family val="2"/>
        <charset val="186"/>
      </rPr>
      <t xml:space="preserve"> (elektroninė leidyba)</t>
    </r>
  </si>
  <si>
    <r>
      <t>Informacinės technologijos A</t>
    </r>
    <r>
      <rPr>
        <sz val="8"/>
        <rFont val="Arial"/>
        <family val="2"/>
        <charset val="186"/>
      </rPr>
      <t xml:space="preserve">  (duomenų bazių kūrimas ir valdymas)</t>
    </r>
  </si>
  <si>
    <t>Ispanų kalba pradedantiesiem</t>
  </si>
  <si>
    <t>Ekonomikos teorijos pagrindai</t>
  </si>
  <si>
    <t>Vadybos pagrindai</t>
  </si>
  <si>
    <t>Teisės pagrindai</t>
  </si>
  <si>
    <t>Anglų k.</t>
  </si>
  <si>
    <t>IT</t>
  </si>
  <si>
    <t>Viešo kalbėjimo modulis</t>
  </si>
  <si>
    <t>Ekonomika anglų kalba</t>
  </si>
  <si>
    <t>Etika B</t>
  </si>
  <si>
    <t>Tikyba šv r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</si>
  <si>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</si>
  <si>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</si>
  <si>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</si>
  <si>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</si>
  <si>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</si>
  <si>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</si>
  <si>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Istorija B</t>
  </si>
  <si>
    <t>Istorija A 3 val.</t>
  </si>
  <si>
    <t>Istorija A 4 val.</t>
  </si>
  <si>
    <t>Gegorafija B</t>
  </si>
  <si>
    <t>Gegografija A</t>
  </si>
  <si>
    <t>Biologija B</t>
  </si>
  <si>
    <t>Bilogija A</t>
  </si>
  <si>
    <t>Chemija B</t>
  </si>
  <si>
    <t>Chemija A</t>
  </si>
  <si>
    <t>Fizika B</t>
  </si>
  <si>
    <t>Fizika A</t>
  </si>
  <si>
    <t>Dailė B</t>
  </si>
  <si>
    <t>Dailė A</t>
  </si>
  <si>
    <t>Grafinis dizaimas</t>
  </si>
  <si>
    <t>Muzika B</t>
  </si>
  <si>
    <t>Muzika A</t>
  </si>
  <si>
    <t>Teatras B</t>
  </si>
  <si>
    <t>Teatras A</t>
  </si>
  <si>
    <t>Šokis B</t>
  </si>
  <si>
    <t>Turizmas ir mityba B</t>
  </si>
  <si>
    <t>Taikomojo meno, amatų ir dizaino technologijos B</t>
  </si>
  <si>
    <t>Tekstilės ir aprangos technologijos B</t>
  </si>
  <si>
    <t>Verslas ir vadyba, mažmeninė prekyba</t>
  </si>
  <si>
    <t>Statyba ir medžio apdirbimas B</t>
  </si>
  <si>
    <t>Bendroji kūno kultūra B</t>
  </si>
  <si>
    <t>Aerobika B</t>
  </si>
  <si>
    <t>Rusų kalba</t>
  </si>
  <si>
    <t>Vokiečių kalba</t>
  </si>
  <si>
    <t>Prancūzų kalba</t>
  </si>
  <si>
    <t>Lotynų kalba</t>
  </si>
  <si>
    <t>Kaligrafijos pagrindai</t>
  </si>
  <si>
    <t>Pasiruošimas IELTS egzaminui</t>
  </si>
  <si>
    <t>Kalbinių kompetencijų ugdymas</t>
  </si>
  <si>
    <t>Matematikos olimpiadinių uždavinių sprendimas, A kursui</t>
  </si>
  <si>
    <t>Eksperimentas biologijoje, A kursui</t>
  </si>
  <si>
    <t>Chemijos eksperimentų, uždavinių ir tekstinių užduočių sprendimas, A kusui</t>
  </si>
  <si>
    <t>Medžiagos ir jų kitimai</t>
  </si>
  <si>
    <t>Fizikos  uždavinių sprendimo būdai ir metodai, A kursui</t>
  </si>
  <si>
    <t>Programavimo pagrindai</t>
  </si>
  <si>
    <t>Programavimo praktikumas</t>
  </si>
  <si>
    <t xml:space="preserve"> –</t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</si>
  <si>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</si>
  <si>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r>
      <t>Išplėstinis kursas</t>
    </r>
    <r>
      <rPr>
        <b/>
        <sz val="10"/>
        <rFont val="Times New Roman"/>
        <family val="1"/>
        <charset val="186"/>
      </rPr>
      <t xml:space="preserve"> (A)</t>
    </r>
  </si>
  <si>
    <t>Tekstilė ir dizainas</t>
  </si>
  <si>
    <t>Menai ir technologijos</t>
  </si>
  <si>
    <t>Kauno Jono Jablonskio gimnazija</t>
  </si>
  <si>
    <t>Užsienio kalba (anglų) (B2)</t>
  </si>
  <si>
    <t>Technologijos (mechaninis remontas)</t>
  </si>
  <si>
    <t>Technologijos (turizmas ir mityba)</t>
  </si>
  <si>
    <t>Pažinimo teorija (anglų kalba)</t>
  </si>
  <si>
    <t>Filosofija</t>
  </si>
  <si>
    <t>Pasirinkta sporto šaka (badmintonas/ tinklinis)</t>
  </si>
  <si>
    <t>Anglų kalba "IELTS egzamino studija"</t>
  </si>
  <si>
    <t>Anglų kalba "Kalbos vartosenos įgūdžių tobulinimas"</t>
  </si>
  <si>
    <t>Integruotų kompleksinių užduočių sprendimas ir analizė</t>
  </si>
  <si>
    <t>Kultūrinis (literatūrinis) raštingumas</t>
  </si>
  <si>
    <t>Uždavinių sprendimo metodika</t>
  </si>
  <si>
    <t>Lietuvos ir Europos visuomenės raida (XIV–XX a.) (IV kl)</t>
  </si>
  <si>
    <t>LDK ir Europos visuomenės raida(XVI-XVIII a.) (III kl)</t>
  </si>
  <si>
    <t>Organizmų įvairovė ir evoliucija. Genetikos pagrindai (IV kl)</t>
  </si>
  <si>
    <t>Ląstelės ir organizmų funkcionavimo valdymas (III kl)</t>
  </si>
  <si>
    <t>Praktinio turinio uždavinių sprendimo būdai (III kl)</t>
  </si>
  <si>
    <t>Praktinio turinio ir  sudėtingesnių uždavinių sprendimo būdai (IV kl)</t>
  </si>
  <si>
    <t>2019-2020/2020-2021 m. m. individualus ugdymo planas (III–IV kl.)</t>
  </si>
  <si>
    <t>Užpildytą anketą atneškite į klasės vadovui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</si>
</sst>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TRUE&quot;;&quot;TRUE&quot;;&quot;FALSE&quot;"/>
    <numFmt numFmtId="165" formatCode="yyyy\-mm\-dd;@"/>
  </numFmts>
  <fonts count="40" x14ac:knownFonts="1">
    <font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Wingdings 2"/>
      <family val="1"/>
      <charset val="2"/>
    </font>
    <font>
      <b/>
      <sz val="9"/>
      <name val="Times New Roman"/>
      <family val="1"/>
      <charset val="186"/>
    </font>
    <font>
      <b/>
      <sz val="9"/>
      <color indexed="10"/>
      <name val="Arial"/>
      <family val="2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8"/>
      <name val="Times New Roman"/>
      <family val="1"/>
      <charset val="204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2"/>
      <color indexed="10"/>
      <name val="Times New Roman"/>
      <family val="1"/>
      <charset val="186"/>
    </font>
    <font>
      <b/>
      <sz val="12"/>
      <color theme="9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64"/>
      </top>
      <bottom style="hair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hair">
        <color indexed="59"/>
      </top>
      <bottom/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double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medium">
        <color indexed="64"/>
      </top>
      <bottom style="medium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thin">
        <color indexed="59"/>
      </right>
      <top style="hair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</cellStyleXfs>
  <cellXfs count="416">
    <xf numFmtId="0" fontId="0" fillId="0" borderId="0" xfId="0"/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6" borderId="15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33" fillId="0" borderId="9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3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textRotation="90" wrapText="1"/>
    </xf>
    <xf numFmtId="0" fontId="36" fillId="0" borderId="32" xfId="0" applyFont="1" applyFill="1" applyBorder="1" applyAlignment="1">
      <alignment horizontal="center" textRotation="90" wrapText="1"/>
    </xf>
    <xf numFmtId="0" fontId="36" fillId="0" borderId="33" xfId="0" applyFont="1" applyFill="1" applyBorder="1" applyAlignment="1">
      <alignment horizontal="center" textRotation="90" wrapText="1"/>
    </xf>
    <xf numFmtId="0" fontId="35" fillId="0" borderId="33" xfId="0" applyFont="1" applyFill="1" applyBorder="1" applyAlignment="1">
      <alignment vertical="center" textRotation="90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6" fillId="0" borderId="32" xfId="0" applyFont="1" applyFill="1" applyBorder="1" applyAlignment="1">
      <alignment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6" fillId="0" borderId="34" xfId="0" applyFont="1" applyFill="1" applyBorder="1" applyAlignment="1">
      <alignment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wrapText="1"/>
    </xf>
    <xf numFmtId="0" fontId="0" fillId="0" borderId="36" xfId="0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/>
    </xf>
    <xf numFmtId="0" fontId="10" fillId="0" borderId="39" xfId="0" applyNumberFormat="1" applyFont="1" applyFill="1" applyBorder="1" applyAlignment="1">
      <alignment vertical="center"/>
    </xf>
    <xf numFmtId="0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0" borderId="4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10" fillId="0" borderId="43" xfId="0" applyNumberFormat="1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vertical="center"/>
    </xf>
    <xf numFmtId="0" fontId="29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64" fontId="10" fillId="0" borderId="43" xfId="0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vertical="center"/>
    </xf>
    <xf numFmtId="0" fontId="10" fillId="6" borderId="45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vertical="center"/>
    </xf>
    <xf numFmtId="164" fontId="10" fillId="0" borderId="41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left" vertical="top" wrapText="1"/>
    </xf>
    <xf numFmtId="0" fontId="10" fillId="0" borderId="6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0" fillId="7" borderId="45" xfId="0" applyFont="1" applyFill="1" applyBorder="1" applyAlignment="1" applyProtection="1">
      <alignment horizontal="center" vertical="center" wrapText="1"/>
      <protection hidden="1"/>
    </xf>
    <xf numFmtId="0" fontId="20" fillId="8" borderId="45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left" vertical="center" wrapText="1"/>
    </xf>
    <xf numFmtId="0" fontId="10" fillId="0" borderId="56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10" fillId="6" borderId="73" xfId="0" applyFont="1" applyFill="1" applyBorder="1" applyAlignment="1">
      <alignment horizontal="center" vertical="center" wrapText="1"/>
    </xf>
    <xf numFmtId="0" fontId="10" fillId="6" borderId="72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164" fontId="10" fillId="0" borderId="74" xfId="0" applyNumberFormat="1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0" fontId="15" fillId="0" borderId="41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95" xfId="0" applyFont="1" applyFill="1" applyBorder="1" applyAlignment="1">
      <alignment vertical="center" wrapText="1"/>
    </xf>
    <xf numFmtId="0" fontId="10" fillId="0" borderId="9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80" xfId="0" applyFont="1" applyBorder="1" applyAlignment="1">
      <alignment vertical="center" wrapText="1"/>
    </xf>
    <xf numFmtId="0" fontId="10" fillId="0" borderId="87" xfId="0" applyFont="1" applyFill="1" applyBorder="1" applyAlignment="1">
      <alignment vertical="center" wrapText="1"/>
    </xf>
    <xf numFmtId="0" fontId="10" fillId="0" borderId="9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10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28" fillId="0" borderId="75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81" xfId="0" applyFont="1" applyBorder="1" applyAlignment="1">
      <alignment horizontal="left" vertical="center" wrapText="1"/>
    </xf>
    <xf numFmtId="0" fontId="28" fillId="0" borderId="82" xfId="0" applyFont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textRotation="90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25" fillId="0" borderId="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/>
    </xf>
    <xf numFmtId="0" fontId="28" fillId="0" borderId="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7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8" fillId="0" borderId="48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/>
    </xf>
    <xf numFmtId="0" fontId="25" fillId="0" borderId="66" xfId="0" applyFont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42" xfId="0" applyFont="1" applyBorder="1" applyAlignment="1">
      <alignment horizontal="left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28" fillId="0" borderId="78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horizontal="left" vertical="center" wrapText="1"/>
    </xf>
    <xf numFmtId="0" fontId="28" fillId="0" borderId="68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textRotation="90"/>
    </xf>
    <xf numFmtId="0" fontId="35" fillId="0" borderId="32" xfId="0" applyFont="1" applyFill="1" applyBorder="1" applyAlignment="1">
      <alignment horizontal="center" textRotation="90" wrapText="1"/>
    </xf>
    <xf numFmtId="0" fontId="35" fillId="0" borderId="3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textRotation="90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7" fillId="0" borderId="32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textRotation="90" wrapText="1"/>
    </xf>
    <xf numFmtId="0" fontId="35" fillId="0" borderId="33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textRotation="90" wrapText="1"/>
    </xf>
  </cellXfs>
  <cellStyles count="11">
    <cellStyle name="1 antraštė" xfId="1"/>
    <cellStyle name="2 antraštė" xfId="2"/>
    <cellStyle name="3 antraštė" xfId="3"/>
    <cellStyle name="4 antraštė" xfId="4"/>
    <cellStyle name="Aiškinamasis tekstas" xfId="5"/>
    <cellStyle name="Geras" xfId="6"/>
    <cellStyle name="Įprastas" xfId="0" builtinId="0"/>
    <cellStyle name="Įspėjimo tekstas" xfId="7"/>
    <cellStyle name="Išvestis" xfId="8"/>
    <cellStyle name="Pavadinimas" xfId="9"/>
    <cellStyle name="Suma" xfId="10"/>
  </cellStyles>
  <dxfs count="57"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92D050"/>
        </patternFill>
      </fill>
    </dxf>
    <dxf>
      <font>
        <b/>
        <i val="0"/>
        <condense val="0"/>
        <extend val="0"/>
      </font>
    </dxf>
    <dxf>
      <font>
        <b/>
        <i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name val="Calibri Light"/>
        <scheme val="none"/>
      </font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rgb="FF92D050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7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13" noThreeD="1"/>
</file>

<file path=xl/ctrlProps/ctrlProp10.xml><?xml version="1.0" encoding="utf-8"?>
<formControlPr xmlns="http://schemas.microsoft.com/office/spreadsheetml/2009/9/main" objectType="CheckBox" fmlaLink="$Q$22" noThreeD="1"/>
</file>

<file path=xl/ctrlProps/ctrlProp11.xml><?xml version="1.0" encoding="utf-8"?>
<formControlPr xmlns="http://schemas.microsoft.com/office/spreadsheetml/2009/9/main" objectType="CheckBox" fmlaLink="$R$22" noThreeD="1"/>
</file>

<file path=xl/ctrlProps/ctrlProp12.xml><?xml version="1.0" encoding="utf-8"?>
<formControlPr xmlns="http://schemas.microsoft.com/office/spreadsheetml/2009/9/main" objectType="CheckBox" fmlaLink="$R$21" noThreeD="1"/>
</file>

<file path=xl/ctrlProps/ctrlProp13.xml><?xml version="1.0" encoding="utf-8"?>
<formControlPr xmlns="http://schemas.microsoft.com/office/spreadsheetml/2009/9/main" objectType="CheckBox" fmlaLink="$R$20" noThreeD="1"/>
</file>

<file path=xl/ctrlProps/ctrlProp14.xml><?xml version="1.0" encoding="utf-8"?>
<formControlPr xmlns="http://schemas.microsoft.com/office/spreadsheetml/2009/9/main" objectType="CheckBox" fmlaLink="$R$23" noThreeD="1"/>
</file>

<file path=xl/ctrlProps/ctrlProp15.xml><?xml version="1.0" encoding="utf-8"?>
<formControlPr xmlns="http://schemas.microsoft.com/office/spreadsheetml/2009/9/main" objectType="CheckBox" fmlaLink="$Q$26" noThreeD="1"/>
</file>

<file path=xl/ctrlProps/ctrlProp16.xml><?xml version="1.0" encoding="utf-8"?>
<formControlPr xmlns="http://schemas.microsoft.com/office/spreadsheetml/2009/9/main" objectType="CheckBox" fmlaLink="$Q$29" noThreeD="1"/>
</file>

<file path=xl/ctrlProps/ctrlProp17.xml><?xml version="1.0" encoding="utf-8"?>
<formControlPr xmlns="http://schemas.microsoft.com/office/spreadsheetml/2009/9/main" objectType="CheckBox" fmlaLink="$Q$43" noThreeD="1"/>
</file>

<file path=xl/ctrlProps/ctrlProp18.xml><?xml version="1.0" encoding="utf-8"?>
<formControlPr xmlns="http://schemas.microsoft.com/office/spreadsheetml/2009/9/main" objectType="CheckBox" fmlaLink="$Q$44" noThreeD="1"/>
</file>

<file path=xl/ctrlProps/ctrlProp19.xml><?xml version="1.0" encoding="utf-8"?>
<formControlPr xmlns="http://schemas.microsoft.com/office/spreadsheetml/2009/9/main" objectType="CheckBox" fmlaLink="$Q$46" noThreeD="1"/>
</file>

<file path=xl/ctrlProps/ctrlProp2.xml><?xml version="1.0" encoding="utf-8"?>
<formControlPr xmlns="http://schemas.microsoft.com/office/spreadsheetml/2009/9/main" objectType="CheckBox" fmlaLink="$Q$23" noThreeD="1"/>
</file>

<file path=xl/ctrlProps/ctrlProp20.xml><?xml version="1.0" encoding="utf-8"?>
<formControlPr xmlns="http://schemas.microsoft.com/office/spreadsheetml/2009/9/main" objectType="CheckBox" fmlaLink="$Q$51" noThreeD="1"/>
</file>

<file path=xl/ctrlProps/ctrlProp21.xml><?xml version="1.0" encoding="utf-8"?>
<formControlPr xmlns="http://schemas.microsoft.com/office/spreadsheetml/2009/9/main" objectType="CheckBox" fmlaLink="$Q$54" noThreeD="1"/>
</file>

<file path=xl/ctrlProps/ctrlProp22.xml><?xml version="1.0" encoding="utf-8"?>
<formControlPr xmlns="http://schemas.microsoft.com/office/spreadsheetml/2009/9/main" objectType="CheckBox" fmlaLink="$Q$14" noThreeD="1"/>
</file>

<file path=xl/ctrlProps/ctrlProp23.xml><?xml version="1.0" encoding="utf-8"?>
<formControlPr xmlns="http://schemas.microsoft.com/office/spreadsheetml/2009/9/main" objectType="CheckBox" fmlaLink="$Q$28" noThreeD="1"/>
</file>

<file path=xl/ctrlProps/ctrlProp24.xml><?xml version="1.0" encoding="utf-8"?>
<formControlPr xmlns="http://schemas.microsoft.com/office/spreadsheetml/2009/9/main" objectType="CheckBox" fmlaLink="$Q$24" noThreeD="1"/>
</file>

<file path=xl/ctrlProps/ctrlProp25.xml><?xml version="1.0" encoding="utf-8"?>
<formControlPr xmlns="http://schemas.microsoft.com/office/spreadsheetml/2009/9/main" objectType="CheckBox" fmlaLink="$Q$25" noThreeD="1"/>
</file>

<file path=xl/ctrlProps/ctrlProp26.xml><?xml version="1.0" encoding="utf-8"?>
<formControlPr xmlns="http://schemas.microsoft.com/office/spreadsheetml/2009/9/main" objectType="CheckBox" fmlaLink="$Q$49" noThreeD="1"/>
</file>

<file path=xl/ctrlProps/ctrlProp27.xml><?xml version="1.0" encoding="utf-8"?>
<formControlPr xmlns="http://schemas.microsoft.com/office/spreadsheetml/2009/9/main" objectType="CheckBox" fmlaLink="$Q$55" noThreeD="1"/>
</file>

<file path=xl/ctrlProps/ctrlProp28.xml><?xml version="1.0" encoding="utf-8"?>
<formControlPr xmlns="http://schemas.microsoft.com/office/spreadsheetml/2009/9/main" objectType="CheckBox" fmlaLink="$Q$17" noThreeD="1"/>
</file>

<file path=xl/ctrlProps/ctrlProp29.xml><?xml version="1.0" encoding="utf-8"?>
<formControlPr xmlns="http://schemas.microsoft.com/office/spreadsheetml/2009/9/main" objectType="CheckBox" fmlaLink="$Q$37" noThreeD="1"/>
</file>

<file path=xl/ctrlProps/ctrlProp3.xml><?xml version="1.0" encoding="utf-8"?>
<formControlPr xmlns="http://schemas.microsoft.com/office/spreadsheetml/2009/9/main" objectType="CheckBox" fmlaLink="$R$15" noThreeD="1"/>
</file>

<file path=xl/ctrlProps/ctrlProp30.xml><?xml version="1.0" encoding="utf-8"?>
<formControlPr xmlns="http://schemas.microsoft.com/office/spreadsheetml/2009/9/main" objectType="CheckBox" fmlaLink="$Q$38" noThreeD="1"/>
</file>

<file path=xl/ctrlProps/ctrlProp31.xml><?xml version="1.0" encoding="utf-8"?>
<formControlPr xmlns="http://schemas.microsoft.com/office/spreadsheetml/2009/9/main" objectType="CheckBox" fmlaLink="$Q$40" noThreeD="1"/>
</file>

<file path=xl/ctrlProps/ctrlProp32.xml><?xml version="1.0" encoding="utf-8"?>
<formControlPr xmlns="http://schemas.microsoft.com/office/spreadsheetml/2009/9/main" objectType="CheckBox" fmlaLink="$Q$53" noThreeD="1"/>
</file>

<file path=xl/ctrlProps/ctrlProp33.xml><?xml version="1.0" encoding="utf-8"?>
<formControlPr xmlns="http://schemas.microsoft.com/office/spreadsheetml/2009/9/main" objectType="CheckBox" fmlaLink="$Q$56" noThreeD="1"/>
</file>

<file path=xl/ctrlProps/ctrlProp34.xml><?xml version="1.0" encoding="utf-8"?>
<formControlPr xmlns="http://schemas.microsoft.com/office/spreadsheetml/2009/9/main" objectType="CheckBox" fmlaLink="$Q$59" noThreeD="1"/>
</file>

<file path=xl/ctrlProps/ctrlProp35.xml><?xml version="1.0" encoding="utf-8"?>
<formControlPr xmlns="http://schemas.microsoft.com/office/spreadsheetml/2009/9/main" objectType="CheckBox" fmlaLink="$Q$50" noThreeD="1"/>
</file>

<file path=xl/ctrlProps/ctrlProp36.xml><?xml version="1.0" encoding="utf-8"?>
<formControlPr xmlns="http://schemas.microsoft.com/office/spreadsheetml/2009/9/main" objectType="CheckBox" fmlaLink="$R$32" noThreeD="1"/>
</file>

<file path=xl/ctrlProps/ctrlProp37.xml><?xml version="1.0" encoding="utf-8"?>
<formControlPr xmlns="http://schemas.microsoft.com/office/spreadsheetml/2009/9/main" objectType="CheckBox" fmlaLink="$R$33" noThreeD="1"/>
</file>

<file path=xl/ctrlProps/ctrlProp38.xml><?xml version="1.0" encoding="utf-8"?>
<formControlPr xmlns="http://schemas.microsoft.com/office/spreadsheetml/2009/9/main" objectType="CheckBox" fmlaLink="$Q$34" lockText="1" noThreeD="1"/>
</file>

<file path=xl/ctrlProps/ctrlProp39.xml><?xml version="1.0" encoding="utf-8"?>
<formControlPr xmlns="http://schemas.microsoft.com/office/spreadsheetml/2009/9/main" objectType="CheckBox" fmlaLink="$Q$16" lockText="1" noThreeD="1"/>
</file>

<file path=xl/ctrlProps/ctrlProp4.xml><?xml version="1.0" encoding="utf-8"?>
<formControlPr xmlns="http://schemas.microsoft.com/office/spreadsheetml/2009/9/main" objectType="CheckBox" fmlaLink="$Q$18" noThreeD="1"/>
</file>

<file path=xl/ctrlProps/ctrlProp40.xml><?xml version="1.0" encoding="utf-8"?>
<formControlPr xmlns="http://schemas.microsoft.com/office/spreadsheetml/2009/9/main" objectType="CheckBox" fmlaLink="$R$16" lockText="1" noThreeD="1"/>
</file>

<file path=xl/ctrlProps/ctrlProp41.xml><?xml version="1.0" encoding="utf-8"?>
<formControlPr xmlns="http://schemas.microsoft.com/office/spreadsheetml/2009/9/main" objectType="CheckBox" fmlaLink="$Q$27" lockText="1" noThreeD="1"/>
</file>

<file path=xl/ctrlProps/ctrlProp42.xml><?xml version="1.0" encoding="utf-8"?>
<formControlPr xmlns="http://schemas.microsoft.com/office/spreadsheetml/2009/9/main" objectType="CheckBox" fmlaLink="$Q$58" noThreeD="1"/>
</file>

<file path=xl/ctrlProps/ctrlProp43.xml><?xml version="1.0" encoding="utf-8"?>
<formControlPr xmlns="http://schemas.microsoft.com/office/spreadsheetml/2009/9/main" objectType="CheckBox" fmlaLink="$Q$39" lockText="1" noThreeD="1"/>
</file>

<file path=xl/ctrlProps/ctrlProp44.xml><?xml version="1.0" encoding="utf-8"?>
<formControlPr xmlns="http://schemas.microsoft.com/office/spreadsheetml/2009/9/main" objectType="CheckBox" fmlaLink="$Q$45" lockText="1" noThreeD="1"/>
</file>

<file path=xl/ctrlProps/ctrlProp45.xml><?xml version="1.0" encoding="utf-8"?>
<formControlPr xmlns="http://schemas.microsoft.com/office/spreadsheetml/2009/9/main" objectType="CheckBox" fmlaLink="$Q$52" noThreeD="1"/>
</file>

<file path=xl/ctrlProps/ctrlProp46.xml><?xml version="1.0" encoding="utf-8"?>
<formControlPr xmlns="http://schemas.microsoft.com/office/spreadsheetml/2009/9/main" objectType="CheckBox" fmlaLink="$Q$57" noThreeD="1"/>
</file>

<file path=xl/ctrlProps/ctrlProp5.xml><?xml version="1.0" encoding="utf-8"?>
<formControlPr xmlns="http://schemas.microsoft.com/office/spreadsheetml/2009/9/main" objectType="CheckBox" fmlaLink="$Q$19" noThreeD="1"/>
</file>

<file path=xl/ctrlProps/ctrlProp6.xml><?xml version="1.0" encoding="utf-8"?>
<formControlPr xmlns="http://schemas.microsoft.com/office/spreadsheetml/2009/9/main" objectType="CheckBox" fmlaLink="$R$19" noThreeD="1"/>
</file>

<file path=xl/ctrlProps/ctrlProp7.xml><?xml version="1.0" encoding="utf-8"?>
<formControlPr xmlns="http://schemas.microsoft.com/office/spreadsheetml/2009/9/main" objectType="CheckBox" fmlaLink="$R$18" noThreeD="1"/>
</file>

<file path=xl/ctrlProps/ctrlProp8.xml><?xml version="1.0" encoding="utf-8"?>
<formControlPr xmlns="http://schemas.microsoft.com/office/spreadsheetml/2009/9/main" objectType="CheckBox" fmlaLink="$Q$20" noThreeD="1"/>
</file>

<file path=xl/ctrlProps/ctrlProp9.xml><?xml version="1.0" encoding="utf-8"?>
<formControlPr xmlns="http://schemas.microsoft.com/office/spreadsheetml/2009/9/main" objectType="CheckBox" fmlaLink="$Q$2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200025</xdr:colOff>
          <xdr:row>12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0</xdr:rowOff>
        </xdr:from>
        <xdr:to>
          <xdr:col>8</xdr:col>
          <xdr:colOff>200025</xdr:colOff>
          <xdr:row>22</xdr:row>
          <xdr:rowOff>171450</xdr:rowOff>
        </xdr:to>
        <xdr:sp macro="" textlink="">
          <xdr:nvSpPr>
            <xdr:cNvPr id="1026" name="Check Box 17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0</xdr:rowOff>
        </xdr:from>
        <xdr:to>
          <xdr:col>9</xdr:col>
          <xdr:colOff>200025</xdr:colOff>
          <xdr:row>14</xdr:row>
          <xdr:rowOff>171450</xdr:rowOff>
        </xdr:to>
        <xdr:sp macro="" textlink="">
          <xdr:nvSpPr>
            <xdr:cNvPr id="1030" name="Check Box 17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200025</xdr:colOff>
          <xdr:row>17</xdr:row>
          <xdr:rowOff>171450</xdr:rowOff>
        </xdr:to>
        <xdr:sp macro="" textlink="">
          <xdr:nvSpPr>
            <xdr:cNvPr id="1031" name="Check Box 190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8</xdr:col>
          <xdr:colOff>200025</xdr:colOff>
          <xdr:row>18</xdr:row>
          <xdr:rowOff>171450</xdr:rowOff>
        </xdr:to>
        <xdr:sp macro="" textlink="">
          <xdr:nvSpPr>
            <xdr:cNvPr id="1032" name="Check Box 19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0</xdr:rowOff>
        </xdr:from>
        <xdr:to>
          <xdr:col>9</xdr:col>
          <xdr:colOff>200025</xdr:colOff>
          <xdr:row>18</xdr:row>
          <xdr:rowOff>171450</xdr:rowOff>
        </xdr:to>
        <xdr:sp macro="" textlink="">
          <xdr:nvSpPr>
            <xdr:cNvPr id="1034" name="Check Box 196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200025</xdr:colOff>
          <xdr:row>17</xdr:row>
          <xdr:rowOff>171450</xdr:rowOff>
        </xdr:to>
        <xdr:sp macro="" textlink="">
          <xdr:nvSpPr>
            <xdr:cNvPr id="1036" name="Check Box 20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200025</xdr:colOff>
          <xdr:row>19</xdr:row>
          <xdr:rowOff>171450</xdr:rowOff>
        </xdr:to>
        <xdr:sp macro="" textlink="">
          <xdr:nvSpPr>
            <xdr:cNvPr id="1037" name="Check Box 20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0</xdr:rowOff>
        </xdr:from>
        <xdr:to>
          <xdr:col>8</xdr:col>
          <xdr:colOff>200025</xdr:colOff>
          <xdr:row>20</xdr:row>
          <xdr:rowOff>171450</xdr:rowOff>
        </xdr:to>
        <xdr:sp macro="" textlink="">
          <xdr:nvSpPr>
            <xdr:cNvPr id="1038" name="Check Box 20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0</xdr:rowOff>
        </xdr:from>
        <xdr:to>
          <xdr:col>8</xdr:col>
          <xdr:colOff>200025</xdr:colOff>
          <xdr:row>21</xdr:row>
          <xdr:rowOff>171450</xdr:rowOff>
        </xdr:to>
        <xdr:sp macro="" textlink="">
          <xdr:nvSpPr>
            <xdr:cNvPr id="1039" name="Check Box 208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21</xdr:row>
          <xdr:rowOff>0</xdr:rowOff>
        </xdr:from>
        <xdr:to>
          <xdr:col>9</xdr:col>
          <xdr:colOff>200025</xdr:colOff>
          <xdr:row>21</xdr:row>
          <xdr:rowOff>171450</xdr:rowOff>
        </xdr:to>
        <xdr:sp macro="" textlink="">
          <xdr:nvSpPr>
            <xdr:cNvPr id="1040" name="Check Box 21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0</xdr:rowOff>
        </xdr:from>
        <xdr:to>
          <xdr:col>9</xdr:col>
          <xdr:colOff>200025</xdr:colOff>
          <xdr:row>20</xdr:row>
          <xdr:rowOff>171450</xdr:rowOff>
        </xdr:to>
        <xdr:sp macro="" textlink="">
          <xdr:nvSpPr>
            <xdr:cNvPr id="1041" name="Check Box 211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200025</xdr:colOff>
          <xdr:row>19</xdr:row>
          <xdr:rowOff>171450</xdr:rowOff>
        </xdr:to>
        <xdr:sp macro="" textlink="">
          <xdr:nvSpPr>
            <xdr:cNvPr id="1042" name="Check Box 212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0</xdr:rowOff>
        </xdr:from>
        <xdr:to>
          <xdr:col>9</xdr:col>
          <xdr:colOff>200025</xdr:colOff>
          <xdr:row>22</xdr:row>
          <xdr:rowOff>171450</xdr:rowOff>
        </xdr:to>
        <xdr:sp macro="" textlink="">
          <xdr:nvSpPr>
            <xdr:cNvPr id="1043" name="Check Box 217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0</xdr:rowOff>
        </xdr:from>
        <xdr:to>
          <xdr:col>8</xdr:col>
          <xdr:colOff>200025</xdr:colOff>
          <xdr:row>25</xdr:row>
          <xdr:rowOff>171450</xdr:rowOff>
        </xdr:to>
        <xdr:sp macro="" textlink="">
          <xdr:nvSpPr>
            <xdr:cNvPr id="1045" name="Check Box 236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0</xdr:rowOff>
        </xdr:from>
        <xdr:to>
          <xdr:col>8</xdr:col>
          <xdr:colOff>200025</xdr:colOff>
          <xdr:row>28</xdr:row>
          <xdr:rowOff>171450</xdr:rowOff>
        </xdr:to>
        <xdr:sp macro="" textlink="">
          <xdr:nvSpPr>
            <xdr:cNvPr id="1048" name="Check Box 245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42</xdr:row>
          <xdr:rowOff>171450</xdr:rowOff>
        </xdr:to>
        <xdr:sp macro="" textlink="">
          <xdr:nvSpPr>
            <xdr:cNvPr id="1055" name="Check Box 289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200025</xdr:colOff>
          <xdr:row>43</xdr:row>
          <xdr:rowOff>171450</xdr:rowOff>
        </xdr:to>
        <xdr:sp macro="" textlink="">
          <xdr:nvSpPr>
            <xdr:cNvPr id="1056" name="Check Box 290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8</xdr:col>
          <xdr:colOff>200025</xdr:colOff>
          <xdr:row>45</xdr:row>
          <xdr:rowOff>171450</xdr:rowOff>
        </xdr:to>
        <xdr:sp macro="" textlink="">
          <xdr:nvSpPr>
            <xdr:cNvPr id="1062" name="Check Box 297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314325</xdr:rowOff>
        </xdr:from>
        <xdr:to>
          <xdr:col>8</xdr:col>
          <xdr:colOff>200025</xdr:colOff>
          <xdr:row>50</xdr:row>
          <xdr:rowOff>323850</xdr:rowOff>
        </xdr:to>
        <xdr:sp macro="" textlink="">
          <xdr:nvSpPr>
            <xdr:cNvPr id="1065" name="Check Box 302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95250</xdr:rowOff>
        </xdr:from>
        <xdr:to>
          <xdr:col>8</xdr:col>
          <xdr:colOff>200025</xdr:colOff>
          <xdr:row>53</xdr:row>
          <xdr:rowOff>266700</xdr:rowOff>
        </xdr:to>
        <xdr:sp macro="" textlink="">
          <xdr:nvSpPr>
            <xdr:cNvPr id="1066" name="Check Box 305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0</xdr:rowOff>
        </xdr:from>
        <xdr:to>
          <xdr:col>8</xdr:col>
          <xdr:colOff>200025</xdr:colOff>
          <xdr:row>13</xdr:row>
          <xdr:rowOff>171450</xdr:rowOff>
        </xdr:to>
        <xdr:sp macro="" textlink="">
          <xdr:nvSpPr>
            <xdr:cNvPr id="1070" name="Check Box 315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200025</xdr:colOff>
          <xdr:row>27</xdr:row>
          <xdr:rowOff>171450</xdr:rowOff>
        </xdr:to>
        <xdr:sp macro="" textlink="">
          <xdr:nvSpPr>
            <xdr:cNvPr id="1072" name="Check Box 324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0</xdr:rowOff>
        </xdr:from>
        <xdr:to>
          <xdr:col>8</xdr:col>
          <xdr:colOff>200025</xdr:colOff>
          <xdr:row>23</xdr:row>
          <xdr:rowOff>171450</xdr:rowOff>
        </xdr:to>
        <xdr:sp macro="" textlink="">
          <xdr:nvSpPr>
            <xdr:cNvPr id="1074" name="Check Box 327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200025</xdr:colOff>
          <xdr:row>24</xdr:row>
          <xdr:rowOff>171450</xdr:rowOff>
        </xdr:to>
        <xdr:sp macro="" textlink="">
          <xdr:nvSpPr>
            <xdr:cNvPr id="1080" name="Check Box 333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200025</xdr:colOff>
          <xdr:row>49</xdr:row>
          <xdr:rowOff>0</xdr:rowOff>
        </xdr:to>
        <xdr:sp macro="" textlink="">
          <xdr:nvSpPr>
            <xdr:cNvPr id="1087" name="Check Box 302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0</xdr:rowOff>
        </xdr:from>
        <xdr:to>
          <xdr:col>8</xdr:col>
          <xdr:colOff>200025</xdr:colOff>
          <xdr:row>55</xdr:row>
          <xdr:rowOff>0</xdr:rowOff>
        </xdr:to>
        <xdr:sp macro="" textlink="">
          <xdr:nvSpPr>
            <xdr:cNvPr id="1088" name="Check Box 305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16</xdr:row>
          <xdr:rowOff>0</xdr:rowOff>
        </xdr:from>
        <xdr:to>
          <xdr:col>8</xdr:col>
          <xdr:colOff>200025</xdr:colOff>
          <xdr:row>16</xdr:row>
          <xdr:rowOff>171450</xdr:rowOff>
        </xdr:to>
        <xdr:sp macro="" textlink="">
          <xdr:nvSpPr>
            <xdr:cNvPr id="1092" name="Check Box 200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200025</xdr:colOff>
          <xdr:row>36</xdr:row>
          <xdr:rowOff>171450</xdr:rowOff>
        </xdr:to>
        <xdr:sp macro="" textlink="">
          <xdr:nvSpPr>
            <xdr:cNvPr id="1093" name="Check Box 245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0</xdr:rowOff>
        </xdr:from>
        <xdr:to>
          <xdr:col>8</xdr:col>
          <xdr:colOff>200025</xdr:colOff>
          <xdr:row>37</xdr:row>
          <xdr:rowOff>171450</xdr:rowOff>
        </xdr:to>
        <xdr:sp macro="" textlink="">
          <xdr:nvSpPr>
            <xdr:cNvPr id="1094" name="Check Box 245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0</xdr:rowOff>
        </xdr:from>
        <xdr:to>
          <xdr:col>8</xdr:col>
          <xdr:colOff>200025</xdr:colOff>
          <xdr:row>39</xdr:row>
          <xdr:rowOff>171450</xdr:rowOff>
        </xdr:to>
        <xdr:sp macro="" textlink="">
          <xdr:nvSpPr>
            <xdr:cNvPr id="1095" name="Check Box 245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66675</xdr:rowOff>
        </xdr:from>
        <xdr:to>
          <xdr:col>8</xdr:col>
          <xdr:colOff>200025</xdr:colOff>
          <xdr:row>52</xdr:row>
          <xdr:rowOff>238125</xdr:rowOff>
        </xdr:to>
        <xdr:sp macro="" textlink="">
          <xdr:nvSpPr>
            <xdr:cNvPr id="1096" name="Check Box 30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200025</xdr:colOff>
          <xdr:row>56</xdr:row>
          <xdr:rowOff>0</xdr:rowOff>
        </xdr:to>
        <xdr:sp macro="" textlink="">
          <xdr:nvSpPr>
            <xdr:cNvPr id="1097" name="Check Box 302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0</xdr:rowOff>
        </xdr:from>
        <xdr:to>
          <xdr:col>8</xdr:col>
          <xdr:colOff>200025</xdr:colOff>
          <xdr:row>59</xdr:row>
          <xdr:rowOff>0</xdr:rowOff>
        </xdr:to>
        <xdr:sp macro="" textlink="">
          <xdr:nvSpPr>
            <xdr:cNvPr id="1098" name="Check Box 302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49</xdr:row>
          <xdr:rowOff>76200</xdr:rowOff>
        </xdr:from>
        <xdr:to>
          <xdr:col>8</xdr:col>
          <xdr:colOff>190500</xdr:colOff>
          <xdr:row>49</xdr:row>
          <xdr:rowOff>247650</xdr:rowOff>
        </xdr:to>
        <xdr:sp macro="" textlink="">
          <xdr:nvSpPr>
            <xdr:cNvPr id="1100" name="Check Box 302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200025</xdr:colOff>
          <xdr:row>31</xdr:row>
          <xdr:rowOff>171450</xdr:rowOff>
        </xdr:to>
        <xdr:sp macro="" textlink="">
          <xdr:nvSpPr>
            <xdr:cNvPr id="1118" name="Check Box 190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0</xdr:rowOff>
        </xdr:from>
        <xdr:to>
          <xdr:col>9</xdr:col>
          <xdr:colOff>200025</xdr:colOff>
          <xdr:row>32</xdr:row>
          <xdr:rowOff>171450</xdr:rowOff>
        </xdr:to>
        <xdr:sp macro="" textlink="">
          <xdr:nvSpPr>
            <xdr:cNvPr id="1119" name="Check Box 190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33</xdr:row>
          <xdr:rowOff>0</xdr:rowOff>
        </xdr:from>
        <xdr:to>
          <xdr:col>8</xdr:col>
          <xdr:colOff>333375</xdr:colOff>
          <xdr:row>34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14</xdr:row>
          <xdr:rowOff>171450</xdr:rowOff>
        </xdr:from>
        <xdr:to>
          <xdr:col>8</xdr:col>
          <xdr:colOff>295275</xdr:colOff>
          <xdr:row>15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180975</xdr:rowOff>
        </xdr:from>
        <xdr:to>
          <xdr:col>9</xdr:col>
          <xdr:colOff>304800</xdr:colOff>
          <xdr:row>15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161925</xdr:rowOff>
        </xdr:from>
        <xdr:to>
          <xdr:col>8</xdr:col>
          <xdr:colOff>304800</xdr:colOff>
          <xdr:row>26</xdr:row>
          <xdr:rowOff>180975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200025</xdr:colOff>
          <xdr:row>58</xdr:row>
          <xdr:rowOff>0</xdr:rowOff>
        </xdr:to>
        <xdr:sp macro="" textlink="">
          <xdr:nvSpPr>
            <xdr:cNvPr id="1131" name="Check Box 302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9</xdr:col>
          <xdr:colOff>276225</xdr:colOff>
          <xdr:row>39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180975</xdr:rowOff>
        </xdr:from>
        <xdr:to>
          <xdr:col>8</xdr:col>
          <xdr:colOff>180975</xdr:colOff>
          <xdr:row>44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200025</xdr:colOff>
          <xdr:row>52</xdr:row>
          <xdr:rowOff>0</xdr:rowOff>
        </xdr:to>
        <xdr:sp macro="" textlink="">
          <xdr:nvSpPr>
            <xdr:cNvPr id="1136" name="Check Box 30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200025</xdr:colOff>
          <xdr:row>57</xdr:row>
          <xdr:rowOff>0</xdr:rowOff>
        </xdr:to>
        <xdr:sp macro="" textlink="">
          <xdr:nvSpPr>
            <xdr:cNvPr id="1137" name="Check Box 302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672"/>
  <sheetViews>
    <sheetView showGridLines="0" tabSelected="1" zoomScaleNormal="100" zoomScaleSheetLayoutView="100" workbookViewId="0">
      <selection activeCell="M11" sqref="M11"/>
    </sheetView>
  </sheetViews>
  <sheetFormatPr defaultColWidth="9.85546875" defaultRowHeight="15.75" x14ac:dyDescent="0.2"/>
  <cols>
    <col min="1" max="1" width="2.85546875" style="5" customWidth="1"/>
    <col min="2" max="2" width="3" style="5" customWidth="1"/>
    <col min="3" max="3" width="15" style="5" customWidth="1"/>
    <col min="4" max="4" width="11.42578125" style="5" customWidth="1"/>
    <col min="5" max="5" width="22.7109375" style="5" customWidth="1"/>
    <col min="6" max="8" width="4" style="5" customWidth="1"/>
    <col min="9" max="9" width="9.7109375" style="5" customWidth="1"/>
    <col min="10" max="10" width="10" style="5" customWidth="1"/>
    <col min="11" max="11" width="3.28515625" style="6" customWidth="1"/>
    <col min="12" max="12" width="28.42578125" style="7" bestFit="1" customWidth="1"/>
    <col min="13" max="13" width="3.28515625" style="8" bestFit="1" customWidth="1"/>
    <col min="14" max="14" width="49.28515625" style="8" customWidth="1"/>
    <col min="15" max="15" width="2.5703125" style="8" customWidth="1"/>
    <col min="16" max="16" width="28.5703125" style="9" hidden="1" customWidth="1"/>
    <col min="17" max="17" width="29.85546875" style="10" hidden="1" customWidth="1"/>
    <col min="18" max="18" width="19.42578125" style="10" hidden="1" customWidth="1"/>
    <col min="19" max="19" width="26.42578125" style="10" hidden="1" customWidth="1"/>
    <col min="20" max="20" width="28.140625" style="10" hidden="1" customWidth="1"/>
    <col min="21" max="21" width="21.5703125" style="10" hidden="1" customWidth="1"/>
    <col min="22" max="22" width="22.7109375" style="10" hidden="1" customWidth="1"/>
    <col min="23" max="23" width="21.7109375" style="10" hidden="1" customWidth="1"/>
    <col min="24" max="24" width="21.5703125" style="10" hidden="1" customWidth="1"/>
    <col min="25" max="25" width="21.85546875" style="10" hidden="1" customWidth="1"/>
    <col min="26" max="26" width="22.28515625" style="10" customWidth="1"/>
    <col min="27" max="16384" width="9.85546875" style="10"/>
  </cols>
  <sheetData>
    <row r="1" spans="1:25" s="13" customFormat="1" ht="18.75" x14ac:dyDescent="0.2">
      <c r="A1" s="326" t="s">
        <v>145</v>
      </c>
      <c r="B1" s="326"/>
      <c r="C1" s="326"/>
      <c r="D1" s="326"/>
      <c r="E1" s="326"/>
      <c r="F1" s="326"/>
      <c r="G1" s="326"/>
      <c r="H1" s="326"/>
      <c r="I1" s="326"/>
      <c r="J1" s="326"/>
      <c r="K1" s="11"/>
      <c r="L1" s="7"/>
      <c r="M1" s="8"/>
      <c r="N1" s="8"/>
      <c r="O1" s="8"/>
      <c r="P1" s="12"/>
    </row>
    <row r="2" spans="1:25" s="13" customFormat="1" ht="5.25" customHeight="1" x14ac:dyDescent="0.2">
      <c r="A2" s="327" t="s">
        <v>163</v>
      </c>
      <c r="B2" s="327"/>
      <c r="C2" s="327"/>
      <c r="D2" s="327"/>
      <c r="E2" s="327"/>
      <c r="F2" s="327"/>
      <c r="G2" s="327"/>
      <c r="H2" s="327"/>
      <c r="I2" s="327"/>
      <c r="J2" s="327"/>
      <c r="K2" s="14"/>
      <c r="L2" s="15"/>
      <c r="N2" s="8"/>
      <c r="O2" s="8"/>
      <c r="P2" s="12"/>
    </row>
    <row r="3" spans="1:25" s="13" customFormat="1" ht="19.5" customHeight="1" x14ac:dyDescent="0.2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14"/>
      <c r="L3" s="16" t="s">
        <v>0</v>
      </c>
      <c r="M3" s="17">
        <f>D65</f>
        <v>0</v>
      </c>
      <c r="N3" s="18" t="str">
        <f>IF((M3&gt;7),"","Dalykų turi būti ne mažiau kaip 8")</f>
        <v>Dalykų turi būti ne mažiau kaip 8</v>
      </c>
      <c r="O3" s="8"/>
      <c r="P3" s="12"/>
    </row>
    <row r="4" spans="1:25" ht="6.75" customHeight="1" x14ac:dyDescent="0.2">
      <c r="L4" s="19"/>
      <c r="M4" s="20"/>
      <c r="N4" s="21"/>
      <c r="Q4" s="5"/>
    </row>
    <row r="5" spans="1:25" ht="16.5" customHeight="1" x14ac:dyDescent="0.2">
      <c r="B5" s="22"/>
      <c r="C5" s="23" t="s">
        <v>1</v>
      </c>
      <c r="D5" s="24"/>
      <c r="E5" s="328" t="s">
        <v>2</v>
      </c>
      <c r="F5" s="328"/>
      <c r="G5" s="329"/>
      <c r="H5" s="329"/>
      <c r="I5" s="329"/>
      <c r="J5" s="329"/>
      <c r="K5" s="14"/>
      <c r="L5" s="16" t="s">
        <v>3</v>
      </c>
      <c r="M5" s="17">
        <f>D67</f>
        <v>0</v>
      </c>
      <c r="N5" s="18" t="str">
        <f>IF((M5&lt;=34)*(M5&gt;=28),"","Pamokų turi būti ne mažiau kaip 28 ir ne daugiau kaip 34")</f>
        <v>Pamokų turi būti ne mažiau kaip 28 ir ne daugiau kaip 34</v>
      </c>
      <c r="Q5" s="5"/>
    </row>
    <row r="6" spans="1:25" s="25" customFormat="1" ht="9" customHeight="1" x14ac:dyDescent="0.2">
      <c r="B6" s="26"/>
      <c r="C6" s="27"/>
      <c r="D6" s="28"/>
      <c r="E6" s="28"/>
      <c r="F6" s="27"/>
      <c r="G6" s="27"/>
      <c r="H6" s="27"/>
      <c r="I6" s="29"/>
      <c r="K6" s="6"/>
      <c r="L6" s="19"/>
      <c r="M6" s="20"/>
      <c r="N6" s="21"/>
      <c r="O6" s="30"/>
      <c r="P6" s="31"/>
    </row>
    <row r="7" spans="1:25" ht="16.5" customHeight="1" x14ac:dyDescent="0.2">
      <c r="B7" s="32"/>
      <c r="C7" s="23"/>
      <c r="D7" s="33"/>
      <c r="F7" s="23" t="s">
        <v>4</v>
      </c>
      <c r="G7" s="329"/>
      <c r="H7" s="329"/>
      <c r="I7" s="34"/>
      <c r="J7" s="34"/>
      <c r="K7" s="35"/>
      <c r="L7" s="16" t="s">
        <v>5</v>
      </c>
      <c r="M7" s="17">
        <f>D69</f>
        <v>0</v>
      </c>
      <c r="N7" s="18" t="str">
        <f>IF((M7&lt;=34)*(M7&gt;=28),"","Pamokų turi būti ne mažiau kaip 28 ir ne daugiau kaip 34")</f>
        <v>Pamokų turi būti ne mažiau kaip 28 ir ne daugiau kaip 34</v>
      </c>
      <c r="Q7" s="5"/>
    </row>
    <row r="8" spans="1:25" ht="12.75" customHeight="1" x14ac:dyDescent="0.2">
      <c r="B8" s="32"/>
      <c r="F8" s="23"/>
      <c r="G8" s="33"/>
      <c r="H8" s="33"/>
      <c r="I8" s="34"/>
      <c r="J8" s="34"/>
      <c r="K8" s="35"/>
      <c r="Q8" s="5"/>
    </row>
    <row r="9" spans="1:25" s="36" customFormat="1" ht="12" x14ac:dyDescent="0.2">
      <c r="B9" s="37" t="s">
        <v>6</v>
      </c>
      <c r="K9" s="38"/>
      <c r="L9" s="39"/>
      <c r="M9" s="40"/>
      <c r="N9" s="40"/>
      <c r="O9" s="40"/>
    </row>
    <row r="10" spans="1:25" ht="10.5" customHeight="1" x14ac:dyDescent="0.2">
      <c r="B10" s="41"/>
      <c r="Q10" s="5"/>
    </row>
    <row r="11" spans="1:25" ht="24" customHeight="1" x14ac:dyDescent="0.2">
      <c r="A11" s="108"/>
      <c r="B11" s="346" t="s">
        <v>7</v>
      </c>
      <c r="C11" s="347" t="s">
        <v>8</v>
      </c>
      <c r="D11" s="348" t="s">
        <v>9</v>
      </c>
      <c r="E11" s="348"/>
      <c r="F11" s="349" t="s">
        <v>10</v>
      </c>
      <c r="G11" s="348" t="s">
        <v>11</v>
      </c>
      <c r="H11" s="348"/>
      <c r="I11" s="350" t="s">
        <v>141</v>
      </c>
      <c r="J11" s="350" t="s">
        <v>142</v>
      </c>
      <c r="K11" s="43"/>
      <c r="M11" s="7"/>
      <c r="N11" s="7"/>
      <c r="O11" s="7"/>
      <c r="P11" s="330" t="s">
        <v>9</v>
      </c>
      <c r="Q11" s="345" t="s">
        <v>12</v>
      </c>
      <c r="R11" s="345" t="s">
        <v>13</v>
      </c>
      <c r="S11" s="342" t="s">
        <v>14</v>
      </c>
      <c r="T11" s="342" t="s">
        <v>15</v>
      </c>
      <c r="U11" s="342" t="s">
        <v>16</v>
      </c>
      <c r="V11" s="343" t="s">
        <v>10</v>
      </c>
      <c r="W11" s="344" t="s">
        <v>17</v>
      </c>
      <c r="X11" s="344" t="s">
        <v>18</v>
      </c>
      <c r="Y11" s="351" t="s">
        <v>19</v>
      </c>
    </row>
    <row r="12" spans="1:25" ht="38.25" customHeight="1" x14ac:dyDescent="0.2">
      <c r="A12" s="108"/>
      <c r="B12" s="346"/>
      <c r="C12" s="347"/>
      <c r="D12" s="348"/>
      <c r="E12" s="348"/>
      <c r="F12" s="349"/>
      <c r="G12" s="42" t="s">
        <v>20</v>
      </c>
      <c r="H12" s="42" t="s">
        <v>21</v>
      </c>
      <c r="I12" s="350"/>
      <c r="J12" s="350"/>
      <c r="K12" s="45"/>
      <c r="M12" s="7"/>
      <c r="N12" s="7"/>
      <c r="O12" s="7"/>
      <c r="P12" s="330"/>
      <c r="Q12" s="345"/>
      <c r="R12" s="345"/>
      <c r="S12" s="342"/>
      <c r="T12" s="342"/>
      <c r="U12" s="342"/>
      <c r="V12" s="343"/>
      <c r="W12" s="344"/>
      <c r="X12" s="344"/>
      <c r="Y12" s="351"/>
    </row>
    <row r="13" spans="1:25" ht="15.75" customHeight="1" x14ac:dyDescent="0.2">
      <c r="A13" s="352"/>
      <c r="B13" s="325">
        <v>1</v>
      </c>
      <c r="C13" s="332" t="s">
        <v>22</v>
      </c>
      <c r="D13" s="331" t="s">
        <v>23</v>
      </c>
      <c r="E13" s="331"/>
      <c r="F13" s="46" t="str">
        <f t="shared" ref="F13:F29" si="0">V13</f>
        <v/>
      </c>
      <c r="G13" s="46" t="str">
        <f t="shared" ref="G13:G29" si="1">X13</f>
        <v/>
      </c>
      <c r="H13" s="46" t="str">
        <f t="shared" ref="H13:H29" si="2">Y13</f>
        <v/>
      </c>
      <c r="I13" s="47"/>
      <c r="J13" s="48" t="s">
        <v>24</v>
      </c>
      <c r="K13" s="49"/>
      <c r="L13" s="323" t="str">
        <f>IF(SUM(U13:U14)=0,"Privaloma pasirinkti vieną dorinio ugdymo dalyką",IF(U13+U14&gt;1,"Galima riktis tik vieną dorinio ugdymo dalyką",""))</f>
        <v>Privaloma pasirinkti vieną dorinio ugdymo dalyką</v>
      </c>
      <c r="M13" s="323"/>
      <c r="N13" s="323"/>
      <c r="O13" s="285"/>
      <c r="P13" s="288" t="str">
        <f t="shared" ref="P13:P29" si="3">D13</f>
        <v>Etika</v>
      </c>
      <c r="Q13" s="50" t="b">
        <v>0</v>
      </c>
      <c r="R13" s="51"/>
      <c r="S13" s="52">
        <f>IF((Q13)*(T13=1),1,0)</f>
        <v>0</v>
      </c>
      <c r="T13" s="53">
        <f>IF(SUM($U$13:$U$14)=1,1,0)</f>
        <v>0</v>
      </c>
      <c r="U13" s="53">
        <f>IF(Q13,1,0)</f>
        <v>0</v>
      </c>
      <c r="V13" s="52" t="str">
        <f>IF(W13=0,"","B")</f>
        <v/>
      </c>
      <c r="W13" s="53">
        <f>IF((Q13=TRUE)*(T13=1),2,0)</f>
        <v>0</v>
      </c>
      <c r="X13" s="53" t="str">
        <f>IF(W13=0,"",1)</f>
        <v/>
      </c>
      <c r="Y13" s="299" t="str">
        <f>IF(W13=0,"",1)</f>
        <v/>
      </c>
    </row>
    <row r="14" spans="1:25" ht="16.5" customHeight="1" thickBot="1" x14ac:dyDescent="0.25">
      <c r="A14" s="352"/>
      <c r="B14" s="325"/>
      <c r="C14" s="332"/>
      <c r="D14" s="354" t="s">
        <v>25</v>
      </c>
      <c r="E14" s="354"/>
      <c r="F14" s="55" t="str">
        <f t="shared" si="0"/>
        <v/>
      </c>
      <c r="G14" s="55" t="str">
        <f t="shared" si="1"/>
        <v/>
      </c>
      <c r="H14" s="55" t="str">
        <f t="shared" si="2"/>
        <v/>
      </c>
      <c r="I14" s="205"/>
      <c r="J14" s="57" t="s">
        <v>24</v>
      </c>
      <c r="K14" s="49"/>
      <c r="L14" s="323"/>
      <c r="M14" s="323"/>
      <c r="N14" s="323"/>
      <c r="O14" s="285"/>
      <c r="P14" s="114" t="str">
        <f t="shared" si="3"/>
        <v>Tikyba</v>
      </c>
      <c r="Q14" s="58" t="b">
        <v>0</v>
      </c>
      <c r="R14" s="227"/>
      <c r="S14" s="60">
        <f>IF((Q14)*(T14=1),1,0)</f>
        <v>0</v>
      </c>
      <c r="T14" s="61">
        <f>IF(SUM($U$13:$U$14)=1,1,0)</f>
        <v>0</v>
      </c>
      <c r="U14" s="228">
        <f>IF(Q14,1,0)</f>
        <v>0</v>
      </c>
      <c r="V14" s="228" t="str">
        <f>IF(W14=0,"","B")</f>
        <v/>
      </c>
      <c r="W14" s="229">
        <f>IF((Q14=TRUE)*(T14=1),2,0)</f>
        <v>0</v>
      </c>
      <c r="X14" s="229" t="str">
        <f>IF(W14=0,"",1)</f>
        <v/>
      </c>
      <c r="Y14" s="300" t="str">
        <f>IF(W14=0,"",1)</f>
        <v/>
      </c>
    </row>
    <row r="15" spans="1:25" s="70" customFormat="1" ht="16.5" customHeight="1" thickBot="1" x14ac:dyDescent="0.25">
      <c r="A15" s="352"/>
      <c r="B15" s="253">
        <v>2</v>
      </c>
      <c r="C15" s="275" t="s">
        <v>26</v>
      </c>
      <c r="D15" s="353" t="s">
        <v>27</v>
      </c>
      <c r="E15" s="353"/>
      <c r="F15" s="62" t="str">
        <f t="shared" si="0"/>
        <v/>
      </c>
      <c r="G15" s="62" t="str">
        <f t="shared" si="1"/>
        <v/>
      </c>
      <c r="H15" s="62" t="str">
        <f t="shared" si="2"/>
        <v/>
      </c>
      <c r="I15" s="230" t="s">
        <v>24</v>
      </c>
      <c r="J15" s="63"/>
      <c r="K15" s="64"/>
      <c r="L15" s="355" t="str">
        <f>IF(AND(NOT(Q15),NOT(R15)),"Privaloma pasirinkti gimtąją kalbą (ir modulį A kursui)",IF(OR(AND(Q15,R15),AND(Q15,)),"Galima rinktis tik A arba B kursą",""))</f>
        <v>Privaloma pasirinkti gimtąją kalbą (ir modulį A kursui)</v>
      </c>
      <c r="M15" s="355"/>
      <c r="N15" s="355"/>
      <c r="O15" s="127"/>
      <c r="P15" s="289" t="str">
        <f t="shared" si="3"/>
        <v>Lietuvių kalba ir literatūra</v>
      </c>
      <c r="Q15" s="226" t="b">
        <v>0</v>
      </c>
      <c r="R15" s="226" t="b">
        <v>0</v>
      </c>
      <c r="S15" s="239">
        <f>IF(OR(Q15,R15),1,0)</f>
        <v>0</v>
      </c>
      <c r="T15" s="239"/>
      <c r="U15" s="240"/>
      <c r="V15" s="240" t="str">
        <f>IF(W15=0,"",IF(Q15,"B","A"))</f>
        <v/>
      </c>
      <c r="W15" s="240">
        <f>IF((Q15=TRUE)*(R15=FALSE),10,IF((Q15=FALSE)*(R15=TRUE),10,0))</f>
        <v>0</v>
      </c>
      <c r="X15" s="240" t="str">
        <f>IF(W15=0,"",IF(W15=11,5,5))</f>
        <v/>
      </c>
      <c r="Y15" s="301" t="str">
        <f>IF(W15=0,"",IF(W15=10,5,5))</f>
        <v/>
      </c>
    </row>
    <row r="16" spans="1:25" s="70" customFormat="1" ht="16.5" customHeight="1" thickBot="1" x14ac:dyDescent="0.25">
      <c r="A16" s="352"/>
      <c r="B16" s="253">
        <v>3</v>
      </c>
      <c r="C16" s="275" t="s">
        <v>32</v>
      </c>
      <c r="D16" s="333" t="s">
        <v>32</v>
      </c>
      <c r="E16" s="333"/>
      <c r="F16" s="62" t="str">
        <f>V16</f>
        <v/>
      </c>
      <c r="G16" s="62" t="str">
        <f>X16</f>
        <v/>
      </c>
      <c r="H16" s="62" t="str">
        <f>Y16</f>
        <v/>
      </c>
      <c r="I16" s="238"/>
      <c r="J16" s="63"/>
      <c r="K16" s="64"/>
      <c r="L16" s="323" t="str">
        <f>IF(AND(NOT(Q16),NOT(R16)),"Privaloma pasirinkti matematiką (ir modulį A kursui)",IF(AND(Q16,R16),"Galima rinktis tik A arba B kursą",""))</f>
        <v>Privaloma pasirinkti matematiką (ir modulį A kursui)</v>
      </c>
      <c r="M16" s="323"/>
      <c r="N16" s="323"/>
      <c r="O16" s="127"/>
      <c r="P16" s="290" t="str">
        <f>D16</f>
        <v>Matematika</v>
      </c>
      <c r="Q16" s="58" t="b">
        <v>0</v>
      </c>
      <c r="R16" s="65" t="b">
        <v>0</v>
      </c>
      <c r="S16" s="69">
        <f>IF((Q16+R16)*NOT(Q16*R16),1,0)</f>
        <v>0</v>
      </c>
      <c r="T16" s="82"/>
      <c r="U16" s="67"/>
      <c r="V16" s="69" t="str">
        <f>IF((Q16=TRUE)*(W16=6),"B",IF((R16=TRUE)*(W16=9),"A",""))</f>
        <v/>
      </c>
      <c r="W16" s="66">
        <f>IF((Q16=TRUE)*(R16=FALSE),6,IF((Q16=FALSE)*(R16=TRUE),9,0))</f>
        <v>0</v>
      </c>
      <c r="X16" s="68" t="str">
        <f>IF(W16=0,"",IF(W16=9,4,3))</f>
        <v/>
      </c>
      <c r="Y16" s="69" t="str">
        <f>IF(W16=0,"",IF(W16=6,3,5))</f>
        <v/>
      </c>
    </row>
    <row r="17" spans="1:25" ht="16.5" customHeight="1" thickBot="1" x14ac:dyDescent="0.25">
      <c r="A17" s="352"/>
      <c r="B17" s="253">
        <v>4</v>
      </c>
      <c r="C17" s="273" t="s">
        <v>28</v>
      </c>
      <c r="D17" s="353" t="s">
        <v>146</v>
      </c>
      <c r="E17" s="353"/>
      <c r="F17" s="71" t="str">
        <f t="shared" si="0"/>
        <v/>
      </c>
      <c r="G17" s="71" t="str">
        <f t="shared" si="1"/>
        <v/>
      </c>
      <c r="H17" s="71" t="str">
        <f t="shared" si="2"/>
        <v/>
      </c>
      <c r="I17" s="356"/>
      <c r="J17" s="356"/>
      <c r="K17" s="49"/>
      <c r="L17" s="357" t="str">
        <f>IF((S17)=0,"Privaloma pasirinkti užsienio kalbą (ir modulį B2 kursui)",IF(S17=1,""))</f>
        <v>Privaloma pasirinkti užsienio kalbą (ir modulį B2 kursui)</v>
      </c>
      <c r="M17" s="357"/>
      <c r="N17" s="357"/>
      <c r="O17" s="287"/>
      <c r="P17" s="291" t="str">
        <f t="shared" si="3"/>
        <v>Užsienio kalba (anglų) (B2)</v>
      </c>
      <c r="Q17" s="241" t="b">
        <v>0</v>
      </c>
      <c r="R17" s="241" t="b">
        <v>0</v>
      </c>
      <c r="S17" s="242">
        <f>IF((Q17=TRUE),1,0)</f>
        <v>0</v>
      </c>
      <c r="T17" s="243"/>
      <c r="U17" s="242"/>
      <c r="V17" s="241" t="str">
        <f>IF((W17=6),"B2","")</f>
        <v/>
      </c>
      <c r="W17" s="242">
        <f>IF((Q17),6,0)</f>
        <v>0</v>
      </c>
      <c r="X17" s="244" t="str">
        <f>IF(W17=0,"",IF(W17=7,3,3))</f>
        <v/>
      </c>
      <c r="Y17" s="302" t="str">
        <f>IF(AND(W17=0),"",IF(W17=6,3,""))</f>
        <v/>
      </c>
    </row>
    <row r="18" spans="1:25" ht="15.75" customHeight="1" x14ac:dyDescent="0.2">
      <c r="A18" s="352"/>
      <c r="B18" s="325">
        <v>5</v>
      </c>
      <c r="C18" s="332" t="s">
        <v>29</v>
      </c>
      <c r="D18" s="334" t="s">
        <v>30</v>
      </c>
      <c r="E18" s="335"/>
      <c r="F18" s="46" t="str">
        <f t="shared" si="0"/>
        <v/>
      </c>
      <c r="G18" s="46" t="str">
        <f t="shared" si="1"/>
        <v/>
      </c>
      <c r="H18" s="46" t="str">
        <f t="shared" si="2"/>
        <v/>
      </c>
      <c r="I18" s="1"/>
      <c r="J18" s="72"/>
      <c r="K18" s="64"/>
      <c r="L18" s="323" t="str">
        <f>IF(SUM(U18:U19)=0,"Privaloma pasirinkti bent vieną socialinio ugdymo dalyką (ir modulį A kursui)",IF(OR(U18=2,U19=2),"Galima rinktis tik A arba B kursą",""))</f>
        <v>Privaloma pasirinkti bent vieną socialinio ugdymo dalyką (ir modulį A kursui)</v>
      </c>
      <c r="M18" s="323"/>
      <c r="N18" s="323"/>
      <c r="O18" s="285"/>
      <c r="P18" s="292" t="str">
        <f t="shared" si="3"/>
        <v>Istorija</v>
      </c>
      <c r="Q18" s="50" t="b">
        <v>0</v>
      </c>
      <c r="R18" s="73" t="b">
        <v>0</v>
      </c>
      <c r="S18" s="52">
        <f t="shared" ref="S18:S24" si="4">IF((Q18+R18)*NOT(Q18*R18),1,0)</f>
        <v>0</v>
      </c>
      <c r="T18" s="52">
        <f>IF($S$18+$S$19&gt;0,1,0)</f>
        <v>0</v>
      </c>
      <c r="U18" s="52">
        <f>IF((Q18=R18)*(Q18=TRUE)*(R18=TRUE),2,IF((Q18=R18),0,1))</f>
        <v>0</v>
      </c>
      <c r="V18" s="52" t="str">
        <f>IF(W18=4,"B",IF(W18=6,"A",""))</f>
        <v/>
      </c>
      <c r="W18" s="54">
        <f>IF((Q18=TRUE)*(R18=FALSE)*(T18=1),4,IF((Q18=FALSE)*(R18=TRUE)*(T18=1),6,0))</f>
        <v>0</v>
      </c>
      <c r="X18" s="52" t="str">
        <f>IF(W18=0,"",IF(W18=4,2,3))</f>
        <v/>
      </c>
      <c r="Y18" s="299" t="str">
        <f t="shared" ref="Y18:Y24" si="5">IF(W18=0,"",IF(W18=4,2,3))</f>
        <v/>
      </c>
    </row>
    <row r="19" spans="1:25" ht="16.5" customHeight="1" thickBot="1" x14ac:dyDescent="0.25">
      <c r="A19" s="352"/>
      <c r="B19" s="325"/>
      <c r="C19" s="332"/>
      <c r="D19" s="358" t="s">
        <v>31</v>
      </c>
      <c r="E19" s="358"/>
      <c r="F19" s="74" t="str">
        <f t="shared" si="0"/>
        <v/>
      </c>
      <c r="G19" s="74" t="str">
        <f t="shared" si="1"/>
        <v/>
      </c>
      <c r="H19" s="74" t="str">
        <f t="shared" si="2"/>
        <v/>
      </c>
      <c r="I19" s="75"/>
      <c r="J19" s="76"/>
      <c r="K19" s="64"/>
      <c r="L19" s="323"/>
      <c r="M19" s="323"/>
      <c r="N19" s="323"/>
      <c r="O19" s="285"/>
      <c r="P19" s="293" t="str">
        <f t="shared" si="3"/>
        <v>Geografija</v>
      </c>
      <c r="Q19" s="77" t="b">
        <v>0</v>
      </c>
      <c r="R19" s="78" t="b">
        <v>0</v>
      </c>
      <c r="S19" s="79">
        <f t="shared" si="4"/>
        <v>0</v>
      </c>
      <c r="T19" s="80">
        <f>IF($S$18+$S$19&gt;0,1,0)</f>
        <v>0</v>
      </c>
      <c r="U19" s="80">
        <f>IF((Q19=R19)*(Q19=TRUE)*(R19=TRUE),2,IF((Q19=R19),0,1))</f>
        <v>0</v>
      </c>
      <c r="V19" s="80" t="str">
        <f>IF(W19=4,"B",IF(W19=6,"A",""))</f>
        <v/>
      </c>
      <c r="W19" s="81">
        <f>IF((Q19=TRUE)*(R19=FALSE)*(T19=1),4,IF((Q19=FALSE)*(R19=TRUE)*(T19=1),6,0))</f>
        <v>0</v>
      </c>
      <c r="X19" s="80" t="str">
        <f>IF(W19=0,"",IF(W19=4,2,3))</f>
        <v/>
      </c>
      <c r="Y19" s="303" t="str">
        <f t="shared" si="5"/>
        <v/>
      </c>
    </row>
    <row r="20" spans="1:25" ht="15.75" customHeight="1" x14ac:dyDescent="0.2">
      <c r="A20" s="352"/>
      <c r="B20" s="325">
        <v>6</v>
      </c>
      <c r="C20" s="332" t="s">
        <v>36</v>
      </c>
      <c r="D20" s="331" t="s">
        <v>37</v>
      </c>
      <c r="E20" s="331"/>
      <c r="F20" s="46" t="str">
        <f t="shared" si="0"/>
        <v/>
      </c>
      <c r="G20" s="46" t="str">
        <f t="shared" si="1"/>
        <v/>
      </c>
      <c r="H20" s="46" t="str">
        <f t="shared" si="2"/>
        <v/>
      </c>
      <c r="I20" s="47"/>
      <c r="J20" s="72"/>
      <c r="K20" s="64"/>
      <c r="L20" s="323" t="str">
        <f>IF(SUM(U20:U22)=0,"Privaloma pasirinkti bent vieną gamtamokslinio ugdymo dalyką (ir modulį A kursui)",IF(OR(U20=2,U21=2,U22=2),"Galima rinktis tik A arba B kursą",""))</f>
        <v>Privaloma pasirinkti bent vieną gamtamokslinio ugdymo dalyką (ir modulį A kursui)</v>
      </c>
      <c r="M20" s="323"/>
      <c r="N20" s="323"/>
      <c r="O20" s="285"/>
      <c r="P20" s="288" t="str">
        <f t="shared" si="3"/>
        <v>Biologija</v>
      </c>
      <c r="Q20" s="50" t="b">
        <v>0</v>
      </c>
      <c r="R20" s="73" t="b">
        <v>0</v>
      </c>
      <c r="S20" s="52">
        <f t="shared" si="4"/>
        <v>0</v>
      </c>
      <c r="T20" s="52">
        <f>IF(((S20=1)+(S21=1)+(S22=1))*((U20=1)+(U20=0))*((U21=1)+(U21=0))*((U21=1)+(U21=0)),1,0)</f>
        <v>0</v>
      </c>
      <c r="U20" s="52">
        <f>IF((Q20=R20)*(Q20=TRUE)*(R20=TRUE),2,IF((Q20=R20),0,1))</f>
        <v>0</v>
      </c>
      <c r="V20" s="52" t="str">
        <f>IF(W20=4,"B",IF(W20=6,"A",""))</f>
        <v/>
      </c>
      <c r="W20" s="52">
        <f>IF((Q20=TRUE)*(R20=FALSE),4,IF((Q20=FALSE)*(R20=TRUE),6,0))</f>
        <v>0</v>
      </c>
      <c r="X20" s="52" t="str">
        <f>IF(W20=0,"",IF(W20=4,2,3))</f>
        <v/>
      </c>
      <c r="Y20" s="299" t="str">
        <f t="shared" si="5"/>
        <v/>
      </c>
    </row>
    <row r="21" spans="1:25" ht="15.75" customHeight="1" x14ac:dyDescent="0.2">
      <c r="A21" s="352"/>
      <c r="B21" s="325"/>
      <c r="C21" s="332"/>
      <c r="D21" s="354" t="s">
        <v>38</v>
      </c>
      <c r="E21" s="354"/>
      <c r="F21" s="86" t="str">
        <f t="shared" si="0"/>
        <v/>
      </c>
      <c r="G21" s="86" t="str">
        <f t="shared" si="1"/>
        <v/>
      </c>
      <c r="H21" s="86" t="str">
        <f t="shared" si="2"/>
        <v/>
      </c>
      <c r="I21" s="94"/>
      <c r="J21" s="95"/>
      <c r="K21" s="64"/>
      <c r="L21" s="323"/>
      <c r="M21" s="323"/>
      <c r="N21" s="323"/>
      <c r="O21" s="285"/>
      <c r="P21" s="118" t="str">
        <f t="shared" si="3"/>
        <v>Chemija</v>
      </c>
      <c r="Q21" s="96" t="b">
        <v>0</v>
      </c>
      <c r="R21" s="97" t="b">
        <v>0</v>
      </c>
      <c r="S21" s="60">
        <f t="shared" si="4"/>
        <v>0</v>
      </c>
      <c r="T21" s="60">
        <f>IF(((S20=1)+(S21=1)+(S22=1))*((U20=1)+(U20=0))*((U21=1)+(U21=0))*((U21=1)+(U21=0)),1,0)</f>
        <v>0</v>
      </c>
      <c r="U21" s="60">
        <f>IF((Q21=R21)*(Q21=TRUE)*(R21=TRUE),2,IF((Q21=R21),0,1))</f>
        <v>0</v>
      </c>
      <c r="V21" s="60" t="str">
        <f>IF(W21=4,"B",IF(W21=7,"A",""))</f>
        <v/>
      </c>
      <c r="W21" s="60">
        <f>IF((Q21=TRUE)*(R21=FALSE),4,IF((Q21=FALSE)*(R21=TRUE),7,0))</f>
        <v>0</v>
      </c>
      <c r="X21" s="60" t="str">
        <f>IF(W21=0,"",IF(W21=4,2,3))</f>
        <v/>
      </c>
      <c r="Y21" s="304" t="str">
        <f t="shared" si="5"/>
        <v/>
      </c>
    </row>
    <row r="22" spans="1:25" ht="16.5" customHeight="1" thickBot="1" x14ac:dyDescent="0.25">
      <c r="A22" s="352"/>
      <c r="B22" s="325"/>
      <c r="C22" s="362"/>
      <c r="D22" s="359" t="s">
        <v>39</v>
      </c>
      <c r="E22" s="359"/>
      <c r="F22" s="89" t="str">
        <f t="shared" si="0"/>
        <v/>
      </c>
      <c r="G22" s="89" t="str">
        <f t="shared" si="1"/>
        <v/>
      </c>
      <c r="H22" s="89" t="str">
        <f t="shared" si="2"/>
        <v/>
      </c>
      <c r="I22" s="205"/>
      <c r="J22" s="90"/>
      <c r="K22" s="64"/>
      <c r="L22" s="323"/>
      <c r="M22" s="323"/>
      <c r="N22" s="323"/>
      <c r="O22" s="285"/>
      <c r="P22" s="293" t="str">
        <f t="shared" si="3"/>
        <v>Fizika</v>
      </c>
      <c r="Q22" s="77" t="b">
        <v>0</v>
      </c>
      <c r="R22" s="98" t="b">
        <v>0</v>
      </c>
      <c r="S22" s="92">
        <f t="shared" si="4"/>
        <v>0</v>
      </c>
      <c r="T22" s="92">
        <f>IF(((S20=1)+(S21=1)+(S22=1))*((U20=1)+(U20=0))*((U21=1)+(U21=0))*((U21=1)+(U21=0)),1,0)</f>
        <v>0</v>
      </c>
      <c r="U22" s="92">
        <f>IF((Q22=R22)*(Q22=TRUE)*(R22=TRUE),2,IF((Q22=R22),0,1))</f>
        <v>0</v>
      </c>
      <c r="V22" s="92" t="str">
        <f>IF(W22=4,"B",IF(W22=7,"A",""))</f>
        <v/>
      </c>
      <c r="W22" s="92">
        <f>IF((Q22=TRUE)*(R22=FALSE),4,IF((Q22=FALSE)*(R22=TRUE),7,0))</f>
        <v>0</v>
      </c>
      <c r="X22" s="92" t="str">
        <f>IF(W22=0,"",IF(W22=4,2,4))</f>
        <v/>
      </c>
      <c r="Y22" s="305" t="str">
        <f t="shared" si="5"/>
        <v/>
      </c>
    </row>
    <row r="23" spans="1:25" ht="15.75" customHeight="1" thickBot="1" x14ac:dyDescent="0.25">
      <c r="A23" s="352"/>
      <c r="B23" s="339">
        <v>7</v>
      </c>
      <c r="C23" s="395" t="s">
        <v>144</v>
      </c>
      <c r="D23" s="361" t="s">
        <v>40</v>
      </c>
      <c r="E23" s="361" t="b">
        <f>FALSE</f>
        <v>0</v>
      </c>
      <c r="F23" s="206" t="str">
        <f t="shared" si="0"/>
        <v/>
      </c>
      <c r="G23" s="206" t="str">
        <f t="shared" si="1"/>
        <v/>
      </c>
      <c r="H23" s="206" t="str">
        <f t="shared" si="2"/>
        <v/>
      </c>
      <c r="I23" s="207"/>
      <c r="J23" s="208"/>
      <c r="K23" s="224"/>
      <c r="L23" s="360" t="str">
        <f>IF(SUM(U23:U27)=0,"Privaloma pasirinkti vieną menų ar technologijų dalyką",IF(OR(U23=2,U24=2,U25=2),"Galima rinktis tik A arba B kursą",IF(SUM(S23:S27)&gt;1,"Galima pasirinkti tik vieną menų arba technologijų dalyką","")))</f>
        <v>Privaloma pasirinkti vieną menų ar technologijų dalyką</v>
      </c>
      <c r="M23" s="360"/>
      <c r="N23" s="360"/>
      <c r="O23" s="285"/>
      <c r="P23" s="114" t="str">
        <f t="shared" si="3"/>
        <v>Dailė</v>
      </c>
      <c r="Q23" s="99" t="b">
        <v>0</v>
      </c>
      <c r="R23" s="99" t="b">
        <v>0</v>
      </c>
      <c r="S23" s="85">
        <f t="shared" si="4"/>
        <v>0</v>
      </c>
      <c r="T23" s="211">
        <f>IF((SUM($S$23:$S$27)=1),1,0)</f>
        <v>0</v>
      </c>
      <c r="U23" s="85">
        <f>IF((Q23=R23)*(Q23),2,IF((Q23=R23),0,1))</f>
        <v>0</v>
      </c>
      <c r="V23" s="85" t="str">
        <f>IF(W23=0,"",IF(Q23,"B","A"))</f>
        <v/>
      </c>
      <c r="W23" s="85">
        <f>IF(((Q23&lt;&gt;R23)=TRUE)*(T23=1),IF((Q23=TRUE)*(R23=FALSE),4,IF((Q23=FALSE)*(R23=TRUE),6,0)),0)</f>
        <v>0</v>
      </c>
      <c r="X23" s="85" t="str">
        <f>IF(W23=0,"",IF(W23=4,2,3))</f>
        <v/>
      </c>
      <c r="Y23" s="306" t="str">
        <f t="shared" si="5"/>
        <v/>
      </c>
    </row>
    <row r="24" spans="1:25" ht="15.75" customHeight="1" thickBot="1" x14ac:dyDescent="0.25">
      <c r="A24" s="352"/>
      <c r="B24" s="340"/>
      <c r="C24" s="396"/>
      <c r="D24" s="358" t="s">
        <v>42</v>
      </c>
      <c r="E24" s="358"/>
      <c r="F24" s="55" t="str">
        <f t="shared" si="0"/>
        <v/>
      </c>
      <c r="G24" s="55" t="str">
        <f t="shared" si="1"/>
        <v/>
      </c>
      <c r="H24" s="55" t="str">
        <f t="shared" si="2"/>
        <v/>
      </c>
      <c r="I24" s="56"/>
      <c r="J24" s="209" t="s">
        <v>24</v>
      </c>
      <c r="K24" s="224"/>
      <c r="L24" s="360"/>
      <c r="M24" s="360"/>
      <c r="N24" s="360"/>
      <c r="O24" s="285"/>
      <c r="P24" s="118" t="str">
        <f t="shared" si="3"/>
        <v>Muzika</v>
      </c>
      <c r="Q24" s="99" t="b">
        <v>0</v>
      </c>
      <c r="R24" s="99" t="b">
        <v>0</v>
      </c>
      <c r="S24" s="85">
        <f t="shared" si="4"/>
        <v>0</v>
      </c>
      <c r="T24" s="211">
        <f>IF((SUM($S$23:$S$27)=1),1,0)</f>
        <v>0</v>
      </c>
      <c r="U24" s="100">
        <f>IF((Q24=R24)*(Q24),2,IF((Q24=R24),0,1))</f>
        <v>0</v>
      </c>
      <c r="V24" s="85" t="str">
        <f>IF(W24=0,"",IF(Q24,"B","A"))</f>
        <v/>
      </c>
      <c r="W24" s="85">
        <f>IF(((Q24&lt;&gt;R24)=TRUE)*(T24=1),IF((Q24=TRUE)*(R24=FALSE),4,IF((Q24=FALSE)*(R24=TRUE),6,0)),0)</f>
        <v>0</v>
      </c>
      <c r="X24" s="85" t="str">
        <f>IF(W24=0,"",IF(W24=4,2,3))</f>
        <v/>
      </c>
      <c r="Y24" s="189" t="str">
        <f t="shared" si="5"/>
        <v/>
      </c>
    </row>
    <row r="25" spans="1:25" ht="15.75" customHeight="1" thickBot="1" x14ac:dyDescent="0.25">
      <c r="A25" s="352"/>
      <c r="B25" s="340"/>
      <c r="C25" s="396"/>
      <c r="D25" s="397" t="s">
        <v>43</v>
      </c>
      <c r="E25" s="397"/>
      <c r="F25" s="254" t="str">
        <f t="shared" si="0"/>
        <v/>
      </c>
      <c r="G25" s="254" t="str">
        <f t="shared" si="1"/>
        <v/>
      </c>
      <c r="H25" s="254" t="str">
        <f t="shared" si="2"/>
        <v/>
      </c>
      <c r="I25" s="256"/>
      <c r="J25" s="258" t="s">
        <v>24</v>
      </c>
      <c r="K25" s="224"/>
      <c r="L25" s="360"/>
      <c r="M25" s="360"/>
      <c r="N25" s="360"/>
      <c r="O25" s="285"/>
      <c r="P25" s="294" t="str">
        <f t="shared" si="3"/>
        <v>Teatras</v>
      </c>
      <c r="Q25" s="210" t="b">
        <v>0</v>
      </c>
      <c r="R25" s="195"/>
      <c r="S25" s="196">
        <f>IF(Q25,1,0)</f>
        <v>0</v>
      </c>
      <c r="T25" s="211">
        <f>IF((SUM($S$23:$S$27)=1),1,0)</f>
        <v>0</v>
      </c>
      <c r="U25" s="85">
        <f>IF((Q25=R25)*(Q25),2,IF((Q25=R25),0,1))</f>
        <v>0</v>
      </c>
      <c r="V25" s="196" t="str">
        <f>IF(W25=4,"B","")</f>
        <v/>
      </c>
      <c r="W25" s="196">
        <f>IF((Q25)*(T25=1),4,0)</f>
        <v>0</v>
      </c>
      <c r="X25" s="196" t="str">
        <f>IF(W25=4,2,"")</f>
        <v/>
      </c>
      <c r="Y25" s="307" t="str">
        <f>IF(W25=4,2,"")</f>
        <v/>
      </c>
    </row>
    <row r="26" spans="1:25" ht="15.75" customHeight="1" thickBot="1" x14ac:dyDescent="0.25">
      <c r="A26" s="352"/>
      <c r="B26" s="340"/>
      <c r="C26" s="396"/>
      <c r="D26" s="358" t="s">
        <v>148</v>
      </c>
      <c r="E26" s="358"/>
      <c r="F26" s="255" t="str">
        <f t="shared" si="0"/>
        <v/>
      </c>
      <c r="G26" s="255" t="str">
        <f t="shared" si="1"/>
        <v/>
      </c>
      <c r="H26" s="255" t="str">
        <f t="shared" si="2"/>
        <v/>
      </c>
      <c r="I26" s="257"/>
      <c r="J26" s="259" t="s">
        <v>24</v>
      </c>
      <c r="K26" s="225"/>
      <c r="L26" s="360"/>
      <c r="M26" s="360"/>
      <c r="N26" s="360"/>
      <c r="O26" s="285"/>
      <c r="P26" s="114" t="str">
        <f t="shared" si="3"/>
        <v>Technologijos (turizmas ir mityba)</v>
      </c>
      <c r="Q26" s="115" t="b">
        <v>0</v>
      </c>
      <c r="R26" s="115"/>
      <c r="S26" s="85">
        <f>IF(Q26,1,0)</f>
        <v>0</v>
      </c>
      <c r="T26" s="211">
        <f>IF((SUM($S$23:$S$27)=1),1,0)</f>
        <v>0</v>
      </c>
      <c r="U26" s="85">
        <f>IF((Q26=R26)*(Q26),2,IF((Q26=R26),0,1))</f>
        <v>0</v>
      </c>
      <c r="V26" s="85" t="str">
        <f>IF(W26=4,"B","")</f>
        <v/>
      </c>
      <c r="W26" s="85">
        <f>IF((Q26)*(T26=1),4,0)</f>
        <v>0</v>
      </c>
      <c r="X26" s="85" t="str">
        <f>IF(W26=4,2,"")</f>
        <v/>
      </c>
      <c r="Y26" s="189" t="str">
        <f>IF(W26=4,2,"")</f>
        <v/>
      </c>
    </row>
    <row r="27" spans="1:25" ht="15.75" customHeight="1" thickBot="1" x14ac:dyDescent="0.25">
      <c r="A27" s="352"/>
      <c r="B27" s="340"/>
      <c r="C27" s="396"/>
      <c r="D27" s="398" t="s">
        <v>147</v>
      </c>
      <c r="E27" s="399"/>
      <c r="F27" s="245" t="str">
        <f t="shared" si="0"/>
        <v/>
      </c>
      <c r="G27" s="245" t="str">
        <f t="shared" si="1"/>
        <v/>
      </c>
      <c r="H27" s="245" t="str">
        <f t="shared" si="2"/>
        <v/>
      </c>
      <c r="I27" s="4"/>
      <c r="J27" s="259" t="s">
        <v>24</v>
      </c>
      <c r="K27" s="225"/>
      <c r="L27" s="360"/>
      <c r="M27" s="360"/>
      <c r="N27" s="360"/>
      <c r="O27" s="285"/>
      <c r="P27" s="114" t="s">
        <v>143</v>
      </c>
      <c r="Q27" s="115" t="b">
        <v>0</v>
      </c>
      <c r="R27" s="115"/>
      <c r="S27" s="85">
        <f>IF(Q27,1,0)</f>
        <v>0</v>
      </c>
      <c r="T27" s="211">
        <f>IF((SUM($S$23:$S$27)=1),1,0)</f>
        <v>0</v>
      </c>
      <c r="U27" s="85">
        <f>IF((Q27=R27)*(Q27),2,IF((Q27=R27),0,1))</f>
        <v>0</v>
      </c>
      <c r="V27" s="85" t="str">
        <f>IF(W27=4,"B","")</f>
        <v/>
      </c>
      <c r="W27" s="85">
        <f>IF((Q27)*(T27=1),4,0)</f>
        <v>0</v>
      </c>
      <c r="X27" s="85" t="str">
        <f>IF(W27=4,2,"")</f>
        <v/>
      </c>
      <c r="Y27" s="189" t="str">
        <f>IF(W27=4,2,"")</f>
        <v/>
      </c>
    </row>
    <row r="28" spans="1:25" ht="15.75" customHeight="1" x14ac:dyDescent="0.2">
      <c r="A28" s="352"/>
      <c r="B28" s="325">
        <v>8</v>
      </c>
      <c r="C28" s="332" t="s">
        <v>44</v>
      </c>
      <c r="D28" s="384" t="s">
        <v>45</v>
      </c>
      <c r="E28" s="384"/>
      <c r="F28" s="214" t="str">
        <f t="shared" si="0"/>
        <v/>
      </c>
      <c r="G28" s="214" t="str">
        <f t="shared" si="1"/>
        <v/>
      </c>
      <c r="H28" s="214" t="str">
        <f t="shared" si="2"/>
        <v/>
      </c>
      <c r="I28" s="215"/>
      <c r="J28" s="216" t="s">
        <v>24</v>
      </c>
      <c r="K28" s="49"/>
      <c r="L28" s="360" t="str">
        <f>IF((U28=2),"Galima rinktis tik A arba B kursą",IF(SUM(S28:S29)=0,"Privaloma pasirinkti vieną kūno kultūros dalyką",IF(SUM(S28:S29)&gt;1,"Galima pasirinkti tik vieną kūno kultūros dalyką","")))</f>
        <v>Privaloma pasirinkti vieną kūno kultūros dalyką</v>
      </c>
      <c r="M28" s="360"/>
      <c r="N28" s="360"/>
      <c r="O28" s="285"/>
      <c r="P28" s="288" t="str">
        <f t="shared" si="3"/>
        <v>Bendroji kūno kultūra</v>
      </c>
      <c r="Q28" s="102" t="b">
        <v>0</v>
      </c>
      <c r="R28" s="102"/>
      <c r="S28" s="103">
        <f>IF(Q28,1,0)</f>
        <v>0</v>
      </c>
      <c r="T28" s="103">
        <f>IF((SUM($S$28:$S$29)=1),1,0)</f>
        <v>0</v>
      </c>
      <c r="U28" s="103"/>
      <c r="V28" s="218" t="str">
        <f>IF(W28=4,"B","")</f>
        <v/>
      </c>
      <c r="W28" s="218">
        <f>IF((Q28)*(T28=1),4,0)</f>
        <v>0</v>
      </c>
      <c r="X28" s="218" t="str">
        <f>IF(W28=4,2,"")</f>
        <v/>
      </c>
      <c r="Y28" s="88" t="str">
        <f>IF(W28=4,2,"")</f>
        <v/>
      </c>
    </row>
    <row r="29" spans="1:25" ht="32.25" customHeight="1" thickBot="1" x14ac:dyDescent="0.25">
      <c r="A29" s="352"/>
      <c r="B29" s="325"/>
      <c r="C29" s="332"/>
      <c r="D29" s="372" t="s">
        <v>151</v>
      </c>
      <c r="E29" s="372"/>
      <c r="F29" s="74" t="str">
        <f t="shared" si="0"/>
        <v/>
      </c>
      <c r="G29" s="74" t="str">
        <f t="shared" si="1"/>
        <v/>
      </c>
      <c r="H29" s="74" t="str">
        <f t="shared" si="2"/>
        <v/>
      </c>
      <c r="I29" s="183"/>
      <c r="J29" s="213" t="s">
        <v>24</v>
      </c>
      <c r="K29" s="49"/>
      <c r="L29" s="360"/>
      <c r="M29" s="360"/>
      <c r="N29" s="360"/>
      <c r="O29" s="285"/>
      <c r="P29" s="294" t="str">
        <f t="shared" si="3"/>
        <v>Pasirinkta sporto šaka (badmintonas/ tinklinis)</v>
      </c>
      <c r="Q29" s="195" t="b">
        <v>0</v>
      </c>
      <c r="R29" s="195"/>
      <c r="S29" s="196">
        <f>IF(Q29,1,0)</f>
        <v>0</v>
      </c>
      <c r="T29" s="196">
        <f>IF((SUM($S$28:$S$29)=1),1,0)</f>
        <v>0</v>
      </c>
      <c r="U29" s="196"/>
      <c r="V29" s="217" t="str">
        <f>IF(W29=4,"B","")</f>
        <v/>
      </c>
      <c r="W29" s="217">
        <f>IF((Q29)*(T29=1),4,0)</f>
        <v>0</v>
      </c>
      <c r="X29" s="217" t="str">
        <f>IF(W29=4,2,"")</f>
        <v/>
      </c>
      <c r="Y29" s="308" t="str">
        <f>IF(W29=4,2,"")</f>
        <v/>
      </c>
    </row>
    <row r="30" spans="1:25" s="108" customFormat="1" ht="10.5" customHeight="1" x14ac:dyDescent="0.2">
      <c r="A30" s="252"/>
      <c r="B30" s="49"/>
      <c r="C30" s="45"/>
      <c r="D30" s="105"/>
      <c r="E30" s="105"/>
      <c r="F30" s="45"/>
      <c r="G30" s="45"/>
      <c r="H30" s="45"/>
      <c r="I30" s="106"/>
      <c r="J30" s="49"/>
      <c r="K30" s="49"/>
      <c r="L30" s="7"/>
      <c r="M30" s="7"/>
      <c r="N30" s="7"/>
      <c r="O30" s="7"/>
      <c r="P30" s="107"/>
      <c r="S30" s="109"/>
      <c r="T30" s="109"/>
      <c r="U30" s="109"/>
      <c r="V30" s="109"/>
      <c r="W30" s="109"/>
      <c r="X30" s="109"/>
      <c r="Y30" s="286"/>
    </row>
    <row r="31" spans="1:25" s="108" customFormat="1" ht="18" customHeight="1" thickBot="1" x14ac:dyDescent="0.25">
      <c r="A31" s="252"/>
      <c r="B31" s="385" t="s">
        <v>46</v>
      </c>
      <c r="C31" s="337"/>
      <c r="D31" s="337"/>
      <c r="E31" s="337"/>
      <c r="F31" s="337"/>
      <c r="G31" s="337"/>
      <c r="H31" s="337"/>
      <c r="I31" s="337"/>
      <c r="J31" s="337"/>
      <c r="K31" s="49"/>
      <c r="L31" s="7"/>
      <c r="M31" s="7"/>
      <c r="N31" s="7"/>
      <c r="O31" s="7"/>
      <c r="P31" s="107"/>
      <c r="S31" s="109"/>
      <c r="T31" s="109"/>
      <c r="U31" s="219"/>
      <c r="V31" s="219"/>
      <c r="W31" s="219"/>
      <c r="X31" s="109"/>
      <c r="Y31" s="286"/>
    </row>
    <row r="32" spans="1:25" ht="15.75" customHeight="1" thickBot="1" x14ac:dyDescent="0.25">
      <c r="A32" s="6"/>
      <c r="B32" s="325">
        <v>9</v>
      </c>
      <c r="C32" s="401" t="s">
        <v>33</v>
      </c>
      <c r="D32" s="336" t="s">
        <v>34</v>
      </c>
      <c r="E32" s="336"/>
      <c r="F32" s="46" t="str">
        <f>V32</f>
        <v/>
      </c>
      <c r="G32" s="46" t="str">
        <f t="shared" ref="G32:H34" si="6">X32</f>
        <v/>
      </c>
      <c r="H32" s="46" t="str">
        <f t="shared" si="6"/>
        <v/>
      </c>
      <c r="I32" s="83" t="s">
        <v>24</v>
      </c>
      <c r="J32" s="72"/>
      <c r="K32" s="182"/>
      <c r="L32" s="360" t="str">
        <f>IF(SUM(S32:S33:S34)&gt;1,"Galima pasirinkti tik vieną informacinių technologijų dalyką","")</f>
        <v/>
      </c>
      <c r="M32" s="360"/>
      <c r="N32" s="360"/>
      <c r="O32" s="7"/>
      <c r="P32" s="288" t="str">
        <f>D32</f>
        <v>Elektroninė leidyba</v>
      </c>
      <c r="Q32" s="84"/>
      <c r="R32" s="261" t="b">
        <v>0</v>
      </c>
      <c r="S32" s="220">
        <f>IF(R32,1,0)</f>
        <v>0</v>
      </c>
      <c r="T32" s="220">
        <f>IF((SUM(S32:S34)=1),1,0)</f>
        <v>0</v>
      </c>
      <c r="U32" s="281"/>
      <c r="V32" s="221" t="str">
        <f>IF(W32=2,"B",IF(W32=4,"A",""))</f>
        <v/>
      </c>
      <c r="W32" s="223">
        <f>IF((R32)*(T32=1),4,0)</f>
        <v>0</v>
      </c>
      <c r="X32" s="52" t="str">
        <f>IF(W32=0,"",IF(W32=2,1,2))</f>
        <v/>
      </c>
      <c r="Y32" s="299" t="str">
        <f>IF(W32=0,"",IF(W32=4,2,1))</f>
        <v/>
      </c>
    </row>
    <row r="33" spans="1:25" ht="16.5" customHeight="1" thickBot="1" x14ac:dyDescent="0.25">
      <c r="A33" s="6"/>
      <c r="B33" s="325"/>
      <c r="C33" s="402"/>
      <c r="D33" s="400" t="s">
        <v>35</v>
      </c>
      <c r="E33" s="400"/>
      <c r="F33" s="249" t="str">
        <f>V33</f>
        <v/>
      </c>
      <c r="G33" s="249" t="str">
        <f t="shared" si="6"/>
        <v/>
      </c>
      <c r="H33" s="249" t="str">
        <f t="shared" si="6"/>
        <v/>
      </c>
      <c r="I33" s="250" t="s">
        <v>24</v>
      </c>
      <c r="J33" s="251"/>
      <c r="K33" s="182"/>
      <c r="L33" s="360"/>
      <c r="M33" s="360"/>
      <c r="N33" s="360"/>
      <c r="O33" s="7"/>
      <c r="P33" s="292" t="str">
        <f>D33</f>
        <v>Programavimas</v>
      </c>
      <c r="Q33" s="231"/>
      <c r="R33" s="262" t="b">
        <v>0</v>
      </c>
      <c r="S33" s="220">
        <f>IF(R33,1,0)</f>
        <v>0</v>
      </c>
      <c r="T33" s="220">
        <f>IF((SUM(S32:S34)=1),1,0)</f>
        <v>0</v>
      </c>
      <c r="U33" s="282"/>
      <c r="V33" s="232" t="str">
        <f>IF(W33=2,"B",IF(W33=4,"A",""))</f>
        <v/>
      </c>
      <c r="W33" s="233">
        <f>IF((R33)*(T33=1),4,0)</f>
        <v>0</v>
      </c>
      <c r="X33" s="234" t="str">
        <f>IF(W33=0,"",IF(W33=2,1,2))</f>
        <v/>
      </c>
      <c r="Y33" s="309" t="str">
        <f>IF(W33=0,"",IF(W33=4,2,1))</f>
        <v/>
      </c>
    </row>
    <row r="34" spans="1:25" ht="16.5" customHeight="1" thickBot="1" x14ac:dyDescent="0.25">
      <c r="A34" s="6"/>
      <c r="B34" s="325"/>
      <c r="C34" s="403"/>
      <c r="D34" s="386" t="s">
        <v>33</v>
      </c>
      <c r="E34" s="387"/>
      <c r="F34" s="246" t="str">
        <f>V34</f>
        <v/>
      </c>
      <c r="G34" s="246" t="str">
        <f t="shared" si="6"/>
        <v/>
      </c>
      <c r="H34" s="246" t="str">
        <f t="shared" si="6"/>
        <v/>
      </c>
      <c r="I34" s="247"/>
      <c r="J34" s="248" t="s">
        <v>140</v>
      </c>
      <c r="K34" s="64"/>
      <c r="L34" s="360"/>
      <c r="M34" s="360"/>
      <c r="N34" s="360"/>
      <c r="O34" s="7"/>
      <c r="P34" s="295" t="str">
        <f>D34</f>
        <v>Informacinės technologijos</v>
      </c>
      <c r="Q34" s="236" t="b">
        <v>0</v>
      </c>
      <c r="R34" s="237"/>
      <c r="S34" s="260">
        <f>IF(Q34,1,0)</f>
        <v>0</v>
      </c>
      <c r="T34" s="260">
        <f>IF((SUM(S32:S34)=1),1,0)</f>
        <v>0</v>
      </c>
      <c r="U34" s="220"/>
      <c r="V34" s="284" t="str">
        <f>IF((W34=2),"B","")</f>
        <v/>
      </c>
      <c r="W34" s="44">
        <f>IF((Q34)*(T34=1),2,0)</f>
        <v>0</v>
      </c>
      <c r="X34" s="283" t="str">
        <f>IF(W34=0,"",IF(W34=2,1,1))</f>
        <v/>
      </c>
      <c r="Y34" s="310" t="str">
        <f>IF(AND(W34=0),"",IF(W34=2,1,""))</f>
        <v/>
      </c>
    </row>
    <row r="35" spans="1:25" s="108" customFormat="1" ht="10.5" customHeight="1" x14ac:dyDescent="0.2">
      <c r="A35" s="6"/>
      <c r="B35" s="49"/>
      <c r="C35" s="45"/>
      <c r="D35" s="105"/>
      <c r="E35" s="105"/>
      <c r="F35" s="45"/>
      <c r="G35" s="45"/>
      <c r="H35" s="45"/>
      <c r="I35" s="106"/>
      <c r="J35" s="49"/>
      <c r="K35" s="49"/>
      <c r="L35" s="127"/>
      <c r="M35" s="127"/>
      <c r="N35" s="127"/>
      <c r="O35" s="7"/>
      <c r="P35" s="107"/>
      <c r="S35" s="109"/>
      <c r="T35" s="109"/>
      <c r="U35" s="109"/>
      <c r="V35" s="109"/>
      <c r="W35" s="109"/>
      <c r="X35" s="109"/>
      <c r="Y35" s="286"/>
    </row>
    <row r="36" spans="1:25" ht="18" customHeight="1" thickBot="1" x14ac:dyDescent="0.25">
      <c r="B36" s="337" t="s">
        <v>46</v>
      </c>
      <c r="C36" s="337"/>
      <c r="D36" s="337"/>
      <c r="E36" s="337"/>
      <c r="F36" s="337"/>
      <c r="G36" s="337"/>
      <c r="H36" s="337"/>
      <c r="I36" s="337"/>
      <c r="J36" s="337"/>
      <c r="K36" s="110"/>
      <c r="M36" s="7"/>
      <c r="N36" s="7"/>
      <c r="O36" s="7"/>
      <c r="P36" s="111"/>
      <c r="Q36" s="112"/>
      <c r="R36" s="112"/>
      <c r="S36" s="113"/>
      <c r="T36" s="113"/>
      <c r="U36" s="113"/>
      <c r="V36" s="113"/>
      <c r="W36" s="112"/>
      <c r="X36" s="112"/>
      <c r="Y36" s="112"/>
    </row>
    <row r="37" spans="1:25" ht="15.75" customHeight="1" x14ac:dyDescent="0.2">
      <c r="B37" s="338">
        <v>10</v>
      </c>
      <c r="C37" s="341" t="s">
        <v>47</v>
      </c>
      <c r="D37" s="331" t="s">
        <v>48</v>
      </c>
      <c r="E37" s="331"/>
      <c r="F37" s="46" t="str">
        <f>V37</f>
        <v/>
      </c>
      <c r="G37" s="46" t="str">
        <f t="shared" ref="G37:H40" si="7">X37</f>
        <v/>
      </c>
      <c r="H37" s="46" t="str">
        <f t="shared" si="7"/>
        <v/>
      </c>
      <c r="I37" s="356"/>
      <c r="J37" s="356"/>
      <c r="K37" s="49"/>
      <c r="L37" s="323"/>
      <c r="M37" s="323"/>
      <c r="N37" s="323"/>
      <c r="O37" s="287"/>
      <c r="P37" s="114" t="str">
        <f>D37</f>
        <v>Užsienio kalba (prancūzų) (2-oji)</v>
      </c>
      <c r="Q37" s="115" t="b">
        <v>0</v>
      </c>
      <c r="R37" s="115"/>
      <c r="S37" s="116">
        <f>IF(Q37,1,0)</f>
        <v>0</v>
      </c>
      <c r="T37" s="85"/>
      <c r="U37" s="117"/>
      <c r="V37" s="85" t="str">
        <f>IF(W37=6,"B1","")</f>
        <v/>
      </c>
      <c r="W37" s="85">
        <f>IF(Q37,6,0)</f>
        <v>0</v>
      </c>
      <c r="X37" s="85" t="str">
        <f>IF(W37=6,3,"")</f>
        <v/>
      </c>
      <c r="Y37" s="306" t="str">
        <f>IF(W37=6,3,"")</f>
        <v/>
      </c>
    </row>
    <row r="38" spans="1:25" ht="15.75" customHeight="1" x14ac:dyDescent="0.2">
      <c r="B38" s="338"/>
      <c r="C38" s="341"/>
      <c r="D38" s="358" t="s">
        <v>49</v>
      </c>
      <c r="E38" s="358"/>
      <c r="F38" s="55" t="str">
        <f>V38</f>
        <v/>
      </c>
      <c r="G38" s="55" t="str">
        <f t="shared" si="7"/>
        <v/>
      </c>
      <c r="H38" s="55" t="str">
        <f t="shared" si="7"/>
        <v/>
      </c>
      <c r="I38" s="388"/>
      <c r="J38" s="388"/>
      <c r="K38" s="49"/>
      <c r="L38" s="323"/>
      <c r="M38" s="323"/>
      <c r="N38" s="323"/>
      <c r="O38" s="287"/>
      <c r="P38" s="118" t="str">
        <f>D38</f>
        <v>Užsienio kalba (rusų) (2-oji)</v>
      </c>
      <c r="Q38" s="87" t="b">
        <v>0</v>
      </c>
      <c r="R38" s="87"/>
      <c r="S38" s="119">
        <f>IF(Q38,1,0)</f>
        <v>0</v>
      </c>
      <c r="T38" s="85"/>
      <c r="U38" s="100"/>
      <c r="V38" s="100" t="str">
        <f>IF(W38=6,"B1","")</f>
        <v/>
      </c>
      <c r="W38" s="100">
        <f>IF(Q38,6,0)</f>
        <v>0</v>
      </c>
      <c r="X38" s="100" t="str">
        <f>IF(W38=6,3,"")</f>
        <v/>
      </c>
      <c r="Y38" s="311" t="str">
        <f>IF(W38=6,3,"")</f>
        <v/>
      </c>
    </row>
    <row r="39" spans="1:25" ht="15.75" customHeight="1" x14ac:dyDescent="0.2">
      <c r="B39" s="338"/>
      <c r="C39" s="341"/>
      <c r="D39" s="393" t="s">
        <v>50</v>
      </c>
      <c r="E39" s="394"/>
      <c r="F39" s="89" t="str">
        <f>V39</f>
        <v/>
      </c>
      <c r="G39" s="89" t="str">
        <f>X39</f>
        <v/>
      </c>
      <c r="H39" s="89" t="str">
        <f>Y39</f>
        <v/>
      </c>
      <c r="I39" s="391"/>
      <c r="J39" s="392"/>
      <c r="K39" s="49"/>
      <c r="L39" s="323"/>
      <c r="M39" s="323"/>
      <c r="N39" s="323"/>
      <c r="O39" s="287"/>
      <c r="P39" s="265" t="str">
        <f>D39</f>
        <v>Užsienio kalba (vokiečių) (2-oji)</v>
      </c>
      <c r="Q39" s="266" t="b">
        <v>0</v>
      </c>
      <c r="R39" s="266"/>
      <c r="S39" s="267">
        <f>IF(Q39,1,0)</f>
        <v>0</v>
      </c>
      <c r="T39" s="268"/>
      <c r="U39" s="269"/>
      <c r="V39" s="269" t="str">
        <f>IF(W39=6,"B1","")</f>
        <v/>
      </c>
      <c r="W39" s="269">
        <f>IF(Q39,6,0)</f>
        <v>0</v>
      </c>
      <c r="X39" s="269" t="str">
        <f>IF(W39=6,3,"")</f>
        <v/>
      </c>
      <c r="Y39" s="312" t="str">
        <f>IF(W39=6,3,"")</f>
        <v/>
      </c>
    </row>
    <row r="40" spans="1:25" ht="16.5" customHeight="1" thickBot="1" x14ac:dyDescent="0.25">
      <c r="B40" s="338"/>
      <c r="C40" s="341"/>
      <c r="D40" s="389" t="s">
        <v>149</v>
      </c>
      <c r="E40" s="389"/>
      <c r="F40" s="120" t="str">
        <f>V40</f>
        <v/>
      </c>
      <c r="G40" s="120" t="str">
        <f t="shared" si="7"/>
        <v/>
      </c>
      <c r="H40" s="120" t="str">
        <f t="shared" si="7"/>
        <v/>
      </c>
      <c r="I40" s="390"/>
      <c r="J40" s="390"/>
      <c r="K40" s="49"/>
      <c r="L40" s="323"/>
      <c r="M40" s="323"/>
      <c r="N40" s="323"/>
      <c r="O40" s="287"/>
      <c r="P40" s="293" t="str">
        <f>D40</f>
        <v>Pažinimo teorija (anglų kalba)</v>
      </c>
      <c r="Q40" s="104" t="b">
        <v>0</v>
      </c>
      <c r="R40" s="104"/>
      <c r="S40" s="121">
        <f>IF(Q40,1,0)</f>
        <v>0</v>
      </c>
      <c r="T40" s="91"/>
      <c r="U40" s="91"/>
      <c r="V40" s="91" t="str">
        <f>IF(W40=2,"P","")</f>
        <v/>
      </c>
      <c r="W40" s="91">
        <f>IF(Q40,2,0)</f>
        <v>0</v>
      </c>
      <c r="X40" s="91" t="str">
        <f>IF(W40=2,1,"")</f>
        <v/>
      </c>
      <c r="Y40" s="313" t="str">
        <f>IF(W40=2,1,"")</f>
        <v/>
      </c>
    </row>
    <row r="41" spans="1:25" ht="10.5" customHeight="1" x14ac:dyDescent="0.2">
      <c r="B41" s="122"/>
      <c r="C41" s="3"/>
      <c r="D41" s="123"/>
      <c r="E41" s="123"/>
      <c r="F41" s="3"/>
      <c r="G41" s="3"/>
      <c r="H41" s="3"/>
      <c r="I41" s="124"/>
      <c r="J41" s="125"/>
      <c r="K41" s="64"/>
      <c r="P41" s="107"/>
      <c r="Q41" s="108"/>
      <c r="R41" s="108"/>
      <c r="S41" s="109"/>
      <c r="T41" s="109"/>
      <c r="U41" s="109"/>
      <c r="V41" s="109"/>
      <c r="W41" s="126"/>
      <c r="X41" s="126"/>
      <c r="Y41" s="286"/>
    </row>
    <row r="42" spans="1:25" ht="18" customHeight="1" thickBot="1" x14ac:dyDescent="0.25">
      <c r="B42" s="381" t="s">
        <v>46</v>
      </c>
      <c r="C42" s="382"/>
      <c r="D42" s="382"/>
      <c r="E42" s="382"/>
      <c r="F42" s="382"/>
      <c r="G42" s="382"/>
      <c r="H42" s="382"/>
      <c r="I42" s="383"/>
      <c r="J42" s="222"/>
      <c r="K42" s="110"/>
      <c r="M42" s="7"/>
      <c r="N42" s="7"/>
      <c r="O42" s="7"/>
      <c r="P42" s="111"/>
      <c r="Q42" s="112"/>
      <c r="R42" s="112"/>
      <c r="S42" s="113"/>
      <c r="T42" s="113"/>
      <c r="U42" s="113"/>
      <c r="V42" s="113"/>
      <c r="W42" s="112"/>
      <c r="X42" s="112"/>
      <c r="Y42" s="112"/>
    </row>
    <row r="43" spans="1:25" ht="15.75" customHeight="1" x14ac:dyDescent="0.2">
      <c r="B43" s="2">
        <v>11</v>
      </c>
      <c r="C43" s="333" t="s">
        <v>51</v>
      </c>
      <c r="D43" s="333"/>
      <c r="E43" s="333"/>
      <c r="F43" s="129" t="str">
        <f>V43</f>
        <v/>
      </c>
      <c r="G43" s="101" t="str">
        <f t="shared" ref="G43:H46" si="8">X43</f>
        <v/>
      </c>
      <c r="H43" s="101" t="str">
        <f t="shared" si="8"/>
        <v/>
      </c>
      <c r="I43" s="130"/>
      <c r="J43" s="131"/>
      <c r="O43" s="7"/>
      <c r="P43" s="114" t="str">
        <f>C43</f>
        <v>Braižyba</v>
      </c>
      <c r="Q43" s="115" t="b">
        <v>0</v>
      </c>
      <c r="R43" s="115"/>
      <c r="S43" s="116">
        <f>IF(Q43,1,0)</f>
        <v>0</v>
      </c>
      <c r="T43" s="85"/>
      <c r="U43" s="85"/>
      <c r="V43" s="85" t="str">
        <f>IF(W43=2,"P","")</f>
        <v/>
      </c>
      <c r="W43" s="85">
        <f>IF(Q43,2,0)</f>
        <v>0</v>
      </c>
      <c r="X43" s="85" t="str">
        <f>IF(W43=2,1,"")</f>
        <v/>
      </c>
      <c r="Y43" s="189" t="str">
        <f>IF(W43=2,1,"")</f>
        <v/>
      </c>
    </row>
    <row r="44" spans="1:25" ht="15.75" customHeight="1" x14ac:dyDescent="0.2">
      <c r="B44" s="2">
        <v>12</v>
      </c>
      <c r="C44" s="333" t="s">
        <v>52</v>
      </c>
      <c r="D44" s="333"/>
      <c r="E44" s="333"/>
      <c r="F44" s="129" t="str">
        <f>V44</f>
        <v/>
      </c>
      <c r="G44" s="101" t="str">
        <f t="shared" si="8"/>
        <v/>
      </c>
      <c r="H44" s="101" t="str">
        <f t="shared" si="8"/>
        <v/>
      </c>
      <c r="I44" s="130"/>
      <c r="O44" s="7"/>
      <c r="P44" s="118" t="str">
        <f>C44</f>
        <v>Ekonomika ir verslumas</v>
      </c>
      <c r="Q44" s="87" t="b">
        <v>0</v>
      </c>
      <c r="R44" s="87"/>
      <c r="S44" s="119">
        <f>IF(Q44,1,0)</f>
        <v>0</v>
      </c>
      <c r="T44" s="100"/>
      <c r="U44" s="100"/>
      <c r="V44" s="85" t="str">
        <f>IF(W44=2,"P","")</f>
        <v/>
      </c>
      <c r="W44" s="100">
        <f>IF(Q44,2,0)</f>
        <v>0</v>
      </c>
      <c r="X44" s="100" t="str">
        <f>IF(W44=2,1,"")</f>
        <v/>
      </c>
      <c r="Y44" s="311" t="str">
        <f>IF(W44=2,1,"")</f>
        <v/>
      </c>
    </row>
    <row r="45" spans="1:25" ht="15.75" customHeight="1" x14ac:dyDescent="0.2">
      <c r="B45" s="270">
        <v>13</v>
      </c>
      <c r="C45" s="320" t="s">
        <v>150</v>
      </c>
      <c r="D45" s="321"/>
      <c r="E45" s="322"/>
      <c r="F45" s="129" t="str">
        <f>V45</f>
        <v/>
      </c>
      <c r="G45" s="271" t="str">
        <f>X45</f>
        <v/>
      </c>
      <c r="H45" s="271" t="str">
        <f>Y45</f>
        <v/>
      </c>
      <c r="I45" s="130"/>
      <c r="O45" s="7"/>
      <c r="P45" s="265" t="str">
        <f>C45</f>
        <v>Filosofija</v>
      </c>
      <c r="Q45" s="266" t="b">
        <v>0</v>
      </c>
      <c r="R45" s="266"/>
      <c r="S45" s="267">
        <f>IF(Q45,1,0)</f>
        <v>0</v>
      </c>
      <c r="T45" s="269"/>
      <c r="U45" s="269"/>
      <c r="V45" s="268" t="str">
        <f>IF(W45=2,"P","")</f>
        <v/>
      </c>
      <c r="W45" s="269">
        <f>IF(Q45,2,0)</f>
        <v>0</v>
      </c>
      <c r="X45" s="269" t="str">
        <f>IF(W45=2,1,"")</f>
        <v/>
      </c>
      <c r="Y45" s="312" t="str">
        <f>IF(W45=2,1,"")</f>
        <v/>
      </c>
    </row>
    <row r="46" spans="1:25" ht="15.75" customHeight="1" thickBot="1" x14ac:dyDescent="0.25">
      <c r="B46" s="2">
        <v>14</v>
      </c>
      <c r="C46" s="320" t="s">
        <v>54</v>
      </c>
      <c r="D46" s="321"/>
      <c r="E46" s="322"/>
      <c r="F46" s="129" t="str">
        <f>V46</f>
        <v/>
      </c>
      <c r="G46" s="101" t="str">
        <f t="shared" si="8"/>
        <v/>
      </c>
      <c r="H46" s="101" t="str">
        <f t="shared" si="8"/>
        <v/>
      </c>
      <c r="I46" s="130"/>
      <c r="N46" s="7"/>
      <c r="O46" s="7"/>
      <c r="P46" s="294" t="str">
        <f>C46</f>
        <v>Psichologija</v>
      </c>
      <c r="Q46" s="195" t="b">
        <v>0</v>
      </c>
      <c r="R46" s="195"/>
      <c r="S46" s="197">
        <f>IF(Q46,1,0)</f>
        <v>0</v>
      </c>
      <c r="T46" s="196"/>
      <c r="U46" s="196"/>
      <c r="V46" s="196" t="str">
        <f>IF(W46=2,"P","")</f>
        <v/>
      </c>
      <c r="W46" s="196">
        <f>IF(Q46,2,0)</f>
        <v>0</v>
      </c>
      <c r="X46" s="196" t="str">
        <f>IF(W46=2,1,"")</f>
        <v/>
      </c>
      <c r="Y46" s="307" t="str">
        <f>IF(W46=2,1,"")</f>
        <v/>
      </c>
    </row>
    <row r="47" spans="1:25" ht="10.5" customHeight="1" x14ac:dyDescent="0.2">
      <c r="B47" s="132"/>
      <c r="C47" s="132"/>
      <c r="D47" s="132"/>
      <c r="E47" s="132"/>
      <c r="F47" s="133"/>
      <c r="G47" s="133"/>
      <c r="H47" s="133"/>
      <c r="I47" s="133"/>
      <c r="J47" s="134"/>
      <c r="K47" s="49"/>
      <c r="P47" s="107"/>
      <c r="Q47" s="5"/>
      <c r="Y47" s="314"/>
    </row>
    <row r="48" spans="1:25" ht="18.95" customHeight="1" thickBot="1" x14ac:dyDescent="0.25">
      <c r="A48" s="6"/>
      <c r="B48" s="376" t="s">
        <v>55</v>
      </c>
      <c r="C48" s="376"/>
      <c r="D48" s="337"/>
      <c r="E48" s="337"/>
      <c r="F48" s="337"/>
      <c r="G48" s="337"/>
      <c r="H48" s="337"/>
      <c r="I48" s="337"/>
      <c r="J48" s="45"/>
      <c r="K48" s="45"/>
      <c r="L48" s="127"/>
      <c r="M48" s="127"/>
      <c r="N48" s="127"/>
      <c r="O48" s="127"/>
      <c r="P48" s="184"/>
      <c r="Q48" s="6"/>
      <c r="R48" s="128"/>
      <c r="S48" s="93"/>
      <c r="T48" s="93"/>
      <c r="U48" s="93"/>
      <c r="V48" s="93"/>
      <c r="W48" s="93"/>
      <c r="X48" s="93"/>
      <c r="Y48" s="93"/>
    </row>
    <row r="49" spans="1:26" ht="27.75" customHeight="1" x14ac:dyDescent="0.2">
      <c r="A49" s="6"/>
      <c r="B49" s="325">
        <v>15</v>
      </c>
      <c r="C49" s="324" t="s">
        <v>56</v>
      </c>
      <c r="D49" s="367" t="s">
        <v>152</v>
      </c>
      <c r="E49" s="333"/>
      <c r="F49" s="190" t="str">
        <f t="shared" ref="F49:F59" si="9">V49</f>
        <v/>
      </c>
      <c r="G49" s="71" t="str">
        <f>X49</f>
        <v/>
      </c>
      <c r="H49" s="198" t="str">
        <f>Y49</f>
        <v/>
      </c>
      <c r="I49" s="137"/>
      <c r="J49" s="45"/>
      <c r="K49" s="45"/>
      <c r="L49" s="371" t="str">
        <f>IF(NOT(Q49),"Dalykas laisvai pasirenkamas","")</f>
        <v>Dalykas laisvai pasirenkamas</v>
      </c>
      <c r="M49" s="371"/>
      <c r="N49" s="371"/>
      <c r="O49" s="127"/>
      <c r="P49" s="296" t="str">
        <f t="shared" ref="P49:P59" si="10">D49</f>
        <v>Anglų kalba "IELTS egzamino studija"</v>
      </c>
      <c r="Q49" s="186" t="b">
        <v>0</v>
      </c>
      <c r="R49" s="187"/>
      <c r="S49" s="188">
        <f t="shared" ref="S49:S59" si="11">IF(Q49,1,0)</f>
        <v>0</v>
      </c>
      <c r="T49" s="87"/>
      <c r="U49" s="119">
        <f>IF(S49=1,1,0)</f>
        <v>0</v>
      </c>
      <c r="V49" s="119" t="str">
        <f t="shared" ref="V49:V59" si="12">IF(W49&lt;&gt;0,"M","")</f>
        <v/>
      </c>
      <c r="W49" s="100">
        <f>IF(Q49*U49,2,0)</f>
        <v>0</v>
      </c>
      <c r="X49" s="203" t="str">
        <f>IF(W49=2,1,"")</f>
        <v/>
      </c>
      <c r="Y49" s="315" t="str">
        <f>IF(W49=2,1,"")</f>
        <v/>
      </c>
    </row>
    <row r="50" spans="1:26" ht="25.5" customHeight="1" x14ac:dyDescent="0.2">
      <c r="A50" s="6"/>
      <c r="B50" s="325"/>
      <c r="C50" s="324"/>
      <c r="D50" s="374" t="s">
        <v>153</v>
      </c>
      <c r="E50" s="375"/>
      <c r="F50" s="190" t="str">
        <f>V50</f>
        <v/>
      </c>
      <c r="G50" s="71" t="str">
        <f>X50</f>
        <v/>
      </c>
      <c r="H50" s="198" t="str">
        <f>Y50</f>
        <v/>
      </c>
      <c r="I50" s="191"/>
      <c r="J50" s="45"/>
      <c r="K50" s="45"/>
      <c r="L50" s="323" t="str">
        <f>IF(AND($V17="B2",$Q50=FALSE),"Modulis privalomas B2 kursui",IF(AND(S50=1,NOT(Q17)),"Turite pasirinkti ANGLŲ K. B2 kursą",""))</f>
        <v/>
      </c>
      <c r="M50" s="323"/>
      <c r="N50" s="323"/>
      <c r="O50" s="127"/>
      <c r="P50" s="296" t="str">
        <f t="shared" si="10"/>
        <v>Anglų kalba "Kalbos vartosenos įgūdžių tobulinimas"</v>
      </c>
      <c r="Q50" s="204" t="b">
        <v>0</v>
      </c>
      <c r="R50" s="187"/>
      <c r="S50" s="188">
        <f>IF(Q50,1,0)</f>
        <v>0</v>
      </c>
      <c r="T50" s="87"/>
      <c r="U50" s="119">
        <f>IF(AND(S50=1,Q17),1,0)</f>
        <v>0</v>
      </c>
      <c r="V50" s="119" t="str">
        <f>IF(W50&lt;&gt;0,"M","")</f>
        <v/>
      </c>
      <c r="W50" s="100">
        <f>IF(Q50*U50,2,0)</f>
        <v>0</v>
      </c>
      <c r="X50" s="88" t="str">
        <f>IF(W50=2,1,"")</f>
        <v/>
      </c>
      <c r="Y50" s="316" t="str">
        <f>IF(W50=2,1,"")</f>
        <v/>
      </c>
    </row>
    <row r="51" spans="1:26" ht="26.25" customHeight="1" x14ac:dyDescent="0.2">
      <c r="B51" s="379">
        <v>16</v>
      </c>
      <c r="C51" s="377" t="s">
        <v>37</v>
      </c>
      <c r="D51" s="372" t="s">
        <v>160</v>
      </c>
      <c r="E51" s="373"/>
      <c r="F51" s="201" t="str">
        <f t="shared" si="9"/>
        <v/>
      </c>
      <c r="G51" s="202" t="str">
        <f>X51</f>
        <v/>
      </c>
      <c r="H51" s="202"/>
      <c r="I51" s="200"/>
      <c r="J51" s="135"/>
      <c r="K51" s="136"/>
      <c r="L51" s="323" t="str">
        <f>IF(AND($V20="A",$Q51=FALSE),"Modulis privalomas A kursui",IF(AND(S51=1,NOT(R20)),"Turite pasirinkti BIOLOGIJOS A kursą",""))</f>
        <v/>
      </c>
      <c r="M51" s="323"/>
      <c r="N51" s="323"/>
      <c r="O51" s="7"/>
      <c r="P51" s="118" t="str">
        <f t="shared" si="10"/>
        <v>Ląstelės ir organizmų funkcionavimo valdymas (III kl)</v>
      </c>
      <c r="Q51" s="59" t="b">
        <v>0</v>
      </c>
      <c r="R51" s="87"/>
      <c r="S51" s="100">
        <f t="shared" si="11"/>
        <v>0</v>
      </c>
      <c r="T51" s="87"/>
      <c r="U51" s="119">
        <f>IF(AND(S51=1,R20),1,0)</f>
        <v>0</v>
      </c>
      <c r="V51" s="119" t="str">
        <f t="shared" si="12"/>
        <v/>
      </c>
      <c r="W51" s="100">
        <f>IF(Q51*U51,1,0)</f>
        <v>0</v>
      </c>
      <c r="X51" s="100" t="str">
        <f>IF(W51=1,1,"")</f>
        <v/>
      </c>
      <c r="Y51" s="311"/>
    </row>
    <row r="52" spans="1:26" ht="26.25" customHeight="1" x14ac:dyDescent="0.2">
      <c r="B52" s="380"/>
      <c r="C52" s="378"/>
      <c r="D52" s="320" t="s">
        <v>159</v>
      </c>
      <c r="E52" s="321"/>
      <c r="F52" s="201" t="str">
        <f>V52</f>
        <v/>
      </c>
      <c r="G52" s="279"/>
      <c r="H52" s="279" t="str">
        <f>Y52</f>
        <v/>
      </c>
      <c r="I52" s="280"/>
      <c r="J52" s="135"/>
      <c r="K52" s="136"/>
      <c r="L52" s="278" t="str">
        <f>IF(AND($V20="A",$Q52=FALSE),"Modulis privalomas A kursui",IF(AND(S52=1,NOT(R20)),"Turite pasirinkti BIOLOGIJOS A kursą",""))</f>
        <v/>
      </c>
      <c r="M52" s="278"/>
      <c r="N52" s="278"/>
      <c r="O52" s="7"/>
      <c r="P52" s="265" t="str">
        <f>D52</f>
        <v>Organizmų įvairovė ir evoliucija. Genetikos pagrindai (IV kl)</v>
      </c>
      <c r="Q52" s="227" t="b">
        <v>0</v>
      </c>
      <c r="R52" s="266"/>
      <c r="S52" s="269">
        <f>IF(Q52,1,0)</f>
        <v>0</v>
      </c>
      <c r="T52" s="266"/>
      <c r="U52" s="267">
        <f>IF(AND(S52=1,R20),1,0)</f>
        <v>0</v>
      </c>
      <c r="V52" s="267" t="str">
        <f>IF(W52&lt;&gt;0,"M","")</f>
        <v/>
      </c>
      <c r="W52" s="269">
        <f>IF(Q52*U52,1,0)</f>
        <v>0</v>
      </c>
      <c r="X52" s="269"/>
      <c r="Y52" s="312" t="str">
        <f>IF(W52=1,1,"")</f>
        <v/>
      </c>
    </row>
    <row r="53" spans="1:26" ht="23.25" customHeight="1" x14ac:dyDescent="0.2">
      <c r="B53" s="235">
        <v>17</v>
      </c>
      <c r="C53" s="276" t="s">
        <v>38</v>
      </c>
      <c r="D53" s="353" t="s">
        <v>156</v>
      </c>
      <c r="E53" s="353"/>
      <c r="F53" s="199" t="str">
        <f t="shared" si="9"/>
        <v/>
      </c>
      <c r="G53" s="74" t="str">
        <f>X53</f>
        <v/>
      </c>
      <c r="H53" s="74" t="str">
        <f t="shared" ref="H53:H59" si="13">Y53</f>
        <v/>
      </c>
      <c r="I53" s="192"/>
      <c r="J53" s="135"/>
      <c r="K53" s="136"/>
      <c r="L53" s="323" t="str">
        <f>IF(AND($V21="A",$Q53=FALSE),"Modulis privalomas A kursui",IF(AND(S53=1,NOT(R21)),"Turite pasirinkti CHEMIJOS A kursą",""))</f>
        <v/>
      </c>
      <c r="M53" s="323"/>
      <c r="N53" s="323"/>
      <c r="O53" s="7"/>
      <c r="P53" s="297" t="str">
        <f t="shared" si="10"/>
        <v>Uždavinių sprendimo metodika</v>
      </c>
      <c r="Q53" s="193" t="b">
        <v>0</v>
      </c>
      <c r="R53" s="187"/>
      <c r="S53" s="188">
        <f t="shared" si="11"/>
        <v>0</v>
      </c>
      <c r="T53" s="187"/>
      <c r="U53" s="194">
        <f>IF(AND(S53=1,R21),1,0)</f>
        <v>0</v>
      </c>
      <c r="V53" s="194" t="str">
        <f t="shared" si="12"/>
        <v/>
      </c>
      <c r="W53" s="188">
        <f>IF(Q53*U53,2,0)</f>
        <v>0</v>
      </c>
      <c r="X53" s="188" t="str">
        <f>IF(W53=2,1,"")</f>
        <v/>
      </c>
      <c r="Y53" s="317" t="str">
        <f>IF(W53=2,1,"")</f>
        <v/>
      </c>
    </row>
    <row r="54" spans="1:26" ht="28.5" customHeight="1" x14ac:dyDescent="0.2">
      <c r="B54" s="274">
        <v>18</v>
      </c>
      <c r="C54" s="277" t="s">
        <v>39</v>
      </c>
      <c r="D54" s="353" t="s">
        <v>154</v>
      </c>
      <c r="E54" s="353"/>
      <c r="F54" s="129" t="str">
        <f t="shared" si="9"/>
        <v/>
      </c>
      <c r="G54" s="101"/>
      <c r="H54" s="101" t="str">
        <f t="shared" si="13"/>
        <v/>
      </c>
      <c r="I54" s="137"/>
      <c r="J54" s="135"/>
      <c r="K54" s="136"/>
      <c r="L54" s="323" t="str">
        <f>IF(AND($V22="A",$Q54=FALSE),"Modulis privalomas A kursui",IF(AND(S54=1,NOT(R22)),"Turite pasirinkti FIZIKOS A kursą",""))</f>
        <v/>
      </c>
      <c r="M54" s="323"/>
      <c r="N54" s="323"/>
      <c r="O54" s="7"/>
      <c r="P54" s="292" t="str">
        <f t="shared" si="10"/>
        <v>Integruotų kompleksinių užduočių sprendimas ir analizė</v>
      </c>
      <c r="Q54" s="185" t="b">
        <v>0</v>
      </c>
      <c r="R54" s="115"/>
      <c r="S54" s="85">
        <f t="shared" si="11"/>
        <v>0</v>
      </c>
      <c r="T54" s="115"/>
      <c r="U54" s="116">
        <f>IF(AND(S54=1,R22),1,0)</f>
        <v>0</v>
      </c>
      <c r="V54" s="116" t="str">
        <f t="shared" si="12"/>
        <v/>
      </c>
      <c r="W54" s="85">
        <f>IF(Q54*U54,1,0)</f>
        <v>0</v>
      </c>
      <c r="X54" s="85"/>
      <c r="Y54" s="189" t="str">
        <f>IF(W54=1,1,"")</f>
        <v/>
      </c>
    </row>
    <row r="55" spans="1:26" ht="30.75" customHeight="1" x14ac:dyDescent="0.2">
      <c r="B55" s="325">
        <v>19</v>
      </c>
      <c r="C55" s="324" t="s">
        <v>32</v>
      </c>
      <c r="D55" s="321" t="s">
        <v>161</v>
      </c>
      <c r="E55" s="322"/>
      <c r="F55" s="190" t="str">
        <f t="shared" si="9"/>
        <v/>
      </c>
      <c r="G55" s="71" t="str">
        <f>X55</f>
        <v/>
      </c>
      <c r="H55" s="71"/>
      <c r="I55" s="191"/>
      <c r="J55" s="135"/>
      <c r="K55" s="136"/>
      <c r="L55" s="323" t="str">
        <f>IF(AND($V16="A",$Q55=FALSE),"Modulis privalomas A kursui",IF(AND(S55=1,NOT(R16)),"Turite pasirinkti MATEMATIKOS A kursą",""))</f>
        <v/>
      </c>
      <c r="M55" s="323"/>
      <c r="N55" s="323"/>
      <c r="O55" s="7"/>
      <c r="P55" s="265" t="str">
        <f t="shared" si="10"/>
        <v>Praktinio turinio uždavinių sprendimo būdai (III kl)</v>
      </c>
      <c r="Q55" s="59" t="b">
        <v>0</v>
      </c>
      <c r="R55" s="87"/>
      <c r="S55" s="100">
        <f t="shared" si="11"/>
        <v>0</v>
      </c>
      <c r="T55" s="87"/>
      <c r="U55" s="119">
        <f>IF(AND(S55=1,R16),1,0)</f>
        <v>0</v>
      </c>
      <c r="V55" s="119" t="str">
        <f t="shared" si="12"/>
        <v/>
      </c>
      <c r="W55" s="100">
        <f>IF(Q55*U55,1,0)</f>
        <v>0</v>
      </c>
      <c r="X55" s="100" t="str">
        <f>IF(W55=1,1,"")</f>
        <v/>
      </c>
      <c r="Y55" s="311"/>
    </row>
    <row r="56" spans="1:26" ht="29.25" customHeight="1" x14ac:dyDescent="0.2">
      <c r="A56" s="6"/>
      <c r="B56" s="325"/>
      <c r="C56" s="324"/>
      <c r="D56" s="367" t="s">
        <v>162</v>
      </c>
      <c r="E56" s="333"/>
      <c r="F56" s="190" t="str">
        <f t="shared" si="9"/>
        <v/>
      </c>
      <c r="G56" s="71"/>
      <c r="H56" s="198" t="str">
        <f t="shared" si="13"/>
        <v/>
      </c>
      <c r="I56" s="263"/>
      <c r="J56" s="45"/>
      <c r="K56" s="45"/>
      <c r="L56" s="323" t="str">
        <f>IF(AND($V16="A",$Q56=FALSE),"Modulis privalomas A kursui",IF(AND(S56=1,NOT(R16)),"Turite pasirinkti MATEMATIKOS A kursą",""))</f>
        <v/>
      </c>
      <c r="M56" s="323"/>
      <c r="N56" s="323"/>
      <c r="O56" s="127"/>
      <c r="P56" s="118" t="str">
        <f t="shared" si="10"/>
        <v>Praktinio turinio ir  sudėtingesnių uždavinių sprendimo būdai (IV kl)</v>
      </c>
      <c r="Q56" s="59" t="b">
        <v>0</v>
      </c>
      <c r="R56" s="87"/>
      <c r="S56" s="100">
        <f t="shared" si="11"/>
        <v>0</v>
      </c>
      <c r="T56" s="87"/>
      <c r="U56" s="119">
        <f>IF(AND(S56=1,R16),1,0)</f>
        <v>0</v>
      </c>
      <c r="V56" s="119" t="str">
        <f t="shared" si="12"/>
        <v/>
      </c>
      <c r="W56" s="100">
        <f>IF(Q56*U56,1,0)</f>
        <v>0</v>
      </c>
      <c r="X56" s="269" t="str">
        <f>IF(W56=1,1,"")</f>
        <v/>
      </c>
      <c r="Y56" s="88" t="str">
        <f>IF(W56=1,1,"")</f>
        <v/>
      </c>
    </row>
    <row r="57" spans="1:26" ht="29.25" customHeight="1" x14ac:dyDescent="0.2">
      <c r="A57" s="6"/>
      <c r="B57" s="339">
        <v>20</v>
      </c>
      <c r="C57" s="368" t="s">
        <v>30</v>
      </c>
      <c r="D57" s="320" t="s">
        <v>158</v>
      </c>
      <c r="E57" s="322"/>
      <c r="F57" s="190" t="str">
        <f t="shared" si="9"/>
        <v/>
      </c>
      <c r="G57" s="71" t="str">
        <f>X57</f>
        <v/>
      </c>
      <c r="H57" s="198"/>
      <c r="I57" s="263"/>
      <c r="J57" s="45"/>
      <c r="K57" s="45"/>
      <c r="L57" s="278" t="str">
        <f>IF(AND($V18="A",$Q57=FALSE),"Modulis privalomas A kursui",IF(AND(S57=1,NOT(R18)),"Turite pasirinkti ISTORIJOS A kursą",""))</f>
        <v/>
      </c>
      <c r="M57" s="278"/>
      <c r="N57" s="278"/>
      <c r="O57" s="127"/>
      <c r="P57" s="298" t="str">
        <f t="shared" si="10"/>
        <v>LDK ir Europos visuomenės raida(XVI-XVIII a.) (III kl)</v>
      </c>
      <c r="Q57" s="185" t="b">
        <v>0</v>
      </c>
      <c r="R57" s="115"/>
      <c r="S57" s="85">
        <f>IF(Q57,1,0)</f>
        <v>0</v>
      </c>
      <c r="T57" s="115"/>
      <c r="U57" s="116">
        <f>IF(AND(S57=1,R18),1,0)</f>
        <v>0</v>
      </c>
      <c r="V57" s="116" t="str">
        <f>IF(W57&lt;&gt;0,"M","")</f>
        <v/>
      </c>
      <c r="W57" s="189">
        <f>IF(Q57*U57,2,0)</f>
        <v>0</v>
      </c>
      <c r="X57" s="220" t="str">
        <f>IF(W57=2,1,"")</f>
        <v/>
      </c>
      <c r="Y57" s="318"/>
    </row>
    <row r="58" spans="1:26" ht="27.75" customHeight="1" x14ac:dyDescent="0.2">
      <c r="A58" s="6"/>
      <c r="B58" s="370"/>
      <c r="C58" s="369"/>
      <c r="D58" s="320" t="s">
        <v>157</v>
      </c>
      <c r="E58" s="322"/>
      <c r="F58" s="190" t="str">
        <f>V58</f>
        <v/>
      </c>
      <c r="G58" s="71"/>
      <c r="H58" s="198" t="str">
        <f>Y58</f>
        <v/>
      </c>
      <c r="I58" s="263"/>
      <c r="J58" s="45"/>
      <c r="K58" s="45"/>
      <c r="L58" s="323" t="str">
        <f>IF(AND($V18="A",$Q58=FALSE),"Modulis privalomas A kursui",IF(AND(S58=1,NOT(R18)),"Turite pasirinkti ISTORIJOS A kursą",""))</f>
        <v/>
      </c>
      <c r="M58" s="323"/>
      <c r="N58" s="323"/>
      <c r="O58" s="127"/>
      <c r="P58" s="298" t="str">
        <f t="shared" si="10"/>
        <v>Lietuvos ir Europos visuomenės raida (XIV–XX a.) (IV kl)</v>
      </c>
      <c r="Q58" s="185" t="b">
        <v>0</v>
      </c>
      <c r="R58" s="115"/>
      <c r="S58" s="85">
        <f>IF(Q58,1,0)</f>
        <v>0</v>
      </c>
      <c r="T58" s="115"/>
      <c r="U58" s="116">
        <f>IF(AND(S58=1,R18),1,0)</f>
        <v>0</v>
      </c>
      <c r="V58" s="116" t="str">
        <f>IF(W58&lt;&gt;0,"M","")</f>
        <v/>
      </c>
      <c r="W58" s="189">
        <f>IF(Q58*U58,1,0)</f>
        <v>0</v>
      </c>
      <c r="X58" s="220" t="str">
        <f>IF(W58=2,1,"")</f>
        <v/>
      </c>
      <c r="Y58" s="318" t="str">
        <f>IF(W58=1,1,"")</f>
        <v/>
      </c>
    </row>
    <row r="59" spans="1:26" ht="30.75" customHeight="1" x14ac:dyDescent="0.2">
      <c r="A59" s="6"/>
      <c r="B59" s="235">
        <v>21</v>
      </c>
      <c r="C59" s="272" t="s">
        <v>57</v>
      </c>
      <c r="D59" s="353" t="s">
        <v>155</v>
      </c>
      <c r="E59" s="353"/>
      <c r="F59" s="129" t="str">
        <f t="shared" si="9"/>
        <v/>
      </c>
      <c r="G59" s="101" t="str">
        <f>X59</f>
        <v/>
      </c>
      <c r="H59" s="264" t="str">
        <f t="shared" si="13"/>
        <v/>
      </c>
      <c r="I59" s="263"/>
      <c r="J59" s="45"/>
      <c r="K59" s="45"/>
      <c r="L59" s="323" t="str">
        <f>IF(AND($V15="A",$Q59=FALSE),"Modulis privalomas A kursui",IF(AND(S59=1,NOT(R15)),"Turite pasirinkti LIETUVIŲ K. A kursą",""))</f>
        <v/>
      </c>
      <c r="M59" s="323"/>
      <c r="N59" s="323"/>
      <c r="O59" s="127"/>
      <c r="P59" s="298" t="str">
        <f t="shared" si="10"/>
        <v>Kultūrinis (literatūrinis) raštingumas</v>
      </c>
      <c r="Q59" s="185" t="b">
        <v>0</v>
      </c>
      <c r="R59" s="115"/>
      <c r="S59" s="85">
        <f t="shared" si="11"/>
        <v>0</v>
      </c>
      <c r="T59" s="115"/>
      <c r="U59" s="116">
        <f>IF(AND(S59=1,R15),1,0)</f>
        <v>0</v>
      </c>
      <c r="V59" s="116" t="str">
        <f t="shared" si="12"/>
        <v/>
      </c>
      <c r="W59" s="85">
        <f>IF(Q59*U59,2,0)</f>
        <v>0</v>
      </c>
      <c r="X59" s="189" t="str">
        <f>IF(W59=2,1,"")</f>
        <v/>
      </c>
      <c r="Y59" s="319" t="str">
        <f>IF(W59=2,1,"")</f>
        <v/>
      </c>
      <c r="Z59" s="108"/>
    </row>
    <row r="60" spans="1:26" hidden="1" x14ac:dyDescent="0.2">
      <c r="B60" s="212"/>
    </row>
    <row r="61" spans="1:26" hidden="1" x14ac:dyDescent="0.2"/>
    <row r="62" spans="1:26" hidden="1" x14ac:dyDescent="0.2"/>
    <row r="63" spans="1:26" ht="3" hidden="1" customHeight="1" x14ac:dyDescent="0.2"/>
    <row r="64" spans="1:26" ht="21" customHeight="1" x14ac:dyDescent="0.2">
      <c r="P64" s="133"/>
      <c r="Q64" s="5"/>
      <c r="U64" s="138"/>
      <c r="V64" s="133"/>
      <c r="W64" s="126"/>
      <c r="X64" s="126"/>
      <c r="Y64" s="126"/>
    </row>
    <row r="65" spans="1:17" s="37" customFormat="1" ht="23.1" customHeight="1" x14ac:dyDescent="0.2">
      <c r="C65" s="139" t="s">
        <v>0</v>
      </c>
      <c r="D65" s="140">
        <f>COUNTIF(V13:V46,"B")+COUNTIF(V13:V46,"A")+COUNTIF(V13:V46,"P")+COUNTIF(V13:V46,"A1")+COUNTIF(V13:V46,"B1")+COUNTIF(V13:V46,"B2")</f>
        <v>0</v>
      </c>
      <c r="E65" s="141" t="str">
        <f>IF((D65&gt;7),"","Dalykų turi būti ne mažiau kaip 8")</f>
        <v>Dalykų turi būti ne mažiau kaip 8</v>
      </c>
      <c r="F65" s="142"/>
      <c r="G65" s="142"/>
      <c r="H65" s="142"/>
      <c r="I65" s="142"/>
      <c r="J65" s="142"/>
      <c r="K65" s="143"/>
      <c r="L65" s="142"/>
      <c r="M65" s="144"/>
      <c r="N65" s="144"/>
      <c r="O65" s="144"/>
    </row>
    <row r="66" spans="1:17" s="37" customFormat="1" ht="9" customHeight="1" x14ac:dyDescent="0.2">
      <c r="C66" s="145"/>
      <c r="D66" s="5"/>
      <c r="E66" s="146"/>
      <c r="G66" s="147"/>
      <c r="H66" s="147"/>
      <c r="I66" s="147"/>
      <c r="J66" s="148"/>
      <c r="K66" s="149"/>
      <c r="L66" s="142"/>
      <c r="M66" s="144"/>
      <c r="N66" s="144"/>
      <c r="O66" s="144"/>
    </row>
    <row r="67" spans="1:17" s="37" customFormat="1" ht="23.1" customHeight="1" x14ac:dyDescent="0.2">
      <c r="A67" s="364" t="s">
        <v>58</v>
      </c>
      <c r="B67" s="364"/>
      <c r="C67" s="364"/>
      <c r="D67" s="140">
        <f>SUM(G13:G59)</f>
        <v>0</v>
      </c>
      <c r="E67" s="142" t="str">
        <f>IF((D67&lt;=34)*(D67&gt;=28),"","Pamokų turi būti ne mažiau kaip 28 ir ne daugiau kaip 34")</f>
        <v>Pamokų turi būti ne mažiau kaip 28 ir ne daugiau kaip 34</v>
      </c>
      <c r="G67" s="150"/>
      <c r="H67" s="150"/>
      <c r="I67" s="150"/>
      <c r="J67" s="148"/>
      <c r="K67" s="149"/>
      <c r="L67" s="142"/>
      <c r="M67" s="144"/>
      <c r="N67" s="144"/>
      <c r="O67" s="144"/>
    </row>
    <row r="68" spans="1:17" s="37" customFormat="1" ht="6.75" customHeight="1" x14ac:dyDescent="0.2">
      <c r="C68" s="145"/>
      <c r="D68" s="5"/>
      <c r="E68" s="146"/>
      <c r="G68" s="147"/>
      <c r="H68" s="147"/>
      <c r="I68" s="147"/>
      <c r="J68" s="148"/>
      <c r="K68" s="149"/>
      <c r="L68" s="142"/>
      <c r="M68" s="144"/>
      <c r="N68" s="144"/>
      <c r="O68" s="144"/>
    </row>
    <row r="69" spans="1:17" s="37" customFormat="1" ht="23.1" customHeight="1" x14ac:dyDescent="0.2">
      <c r="A69" s="364" t="s">
        <v>59</v>
      </c>
      <c r="B69" s="364"/>
      <c r="C69" s="364"/>
      <c r="D69" s="140">
        <f>SUM(H13:H59)</f>
        <v>0</v>
      </c>
      <c r="E69" s="142" t="str">
        <f>IF((D69&lt;=34)*(D69&gt;=28),"","Pamokų turi būti ne mažiau kaip 28 ir ne daugiau kaip 34")</f>
        <v>Pamokų turi būti ne mažiau kaip 28 ir ne daugiau kaip 34</v>
      </c>
      <c r="G69" s="150"/>
      <c r="H69" s="150"/>
      <c r="I69" s="150"/>
      <c r="J69" s="148"/>
      <c r="K69" s="149"/>
      <c r="L69" s="142"/>
      <c r="M69" s="144"/>
      <c r="N69" s="144"/>
      <c r="O69" s="144"/>
    </row>
    <row r="70" spans="1:17" s="37" customFormat="1" ht="6.75" customHeight="1" x14ac:dyDescent="0.2">
      <c r="C70" s="145"/>
      <c r="D70" s="5"/>
      <c r="E70" s="147"/>
      <c r="G70" s="147"/>
      <c r="H70" s="147"/>
      <c r="I70" s="147"/>
      <c r="J70" s="148"/>
      <c r="K70" s="149"/>
      <c r="L70" s="142"/>
      <c r="M70" s="144"/>
      <c r="N70" s="144"/>
      <c r="O70" s="144"/>
    </row>
    <row r="71" spans="1:17" s="37" customFormat="1" ht="12.75" customHeight="1" x14ac:dyDescent="0.2">
      <c r="C71" s="139" t="s">
        <v>60</v>
      </c>
      <c r="D71" s="140">
        <f>COUNTIF(V13:V46,"A")</f>
        <v>0</v>
      </c>
      <c r="E71" s="147"/>
      <c r="G71" s="147"/>
      <c r="H71" s="151"/>
      <c r="I71" s="147"/>
      <c r="J71" s="150"/>
      <c r="K71" s="152"/>
      <c r="L71" s="142"/>
      <c r="M71" s="144"/>
      <c r="N71" s="144"/>
      <c r="O71" s="144"/>
    </row>
    <row r="72" spans="1:17" s="37" customFormat="1" ht="6.75" customHeight="1" x14ac:dyDescent="0.2">
      <c r="C72" s="145"/>
      <c r="D72" s="5"/>
      <c r="E72" s="147"/>
      <c r="G72" s="147"/>
      <c r="H72" s="147"/>
      <c r="I72" s="147"/>
      <c r="J72" s="148"/>
      <c r="K72" s="149"/>
      <c r="L72" s="142"/>
      <c r="M72" s="144"/>
      <c r="N72" s="144"/>
      <c r="O72" s="144"/>
    </row>
    <row r="73" spans="1:17" s="37" customFormat="1" ht="12.75" customHeight="1" x14ac:dyDescent="0.2">
      <c r="C73" s="139" t="s">
        <v>61</v>
      </c>
      <c r="D73" s="140">
        <f>COUNTIF(V13:V46,"B")</f>
        <v>0</v>
      </c>
      <c r="E73" s="147"/>
      <c r="G73" s="147"/>
      <c r="H73" s="151"/>
      <c r="I73" s="147"/>
      <c r="J73" s="150"/>
      <c r="K73" s="152"/>
      <c r="L73" s="142"/>
      <c r="M73" s="144"/>
      <c r="N73" s="144"/>
      <c r="O73" s="144"/>
    </row>
    <row r="74" spans="1:17" ht="15" customHeight="1" x14ac:dyDescent="0.2">
      <c r="C74" s="153"/>
      <c r="D74" s="154"/>
      <c r="E74" s="155"/>
      <c r="G74" s="155"/>
      <c r="H74" s="156"/>
      <c r="I74" s="155"/>
      <c r="J74" s="157"/>
      <c r="K74" s="158"/>
      <c r="P74" s="5"/>
      <c r="Q74" s="5"/>
    </row>
    <row r="75" spans="1:17" ht="15" customHeight="1" x14ac:dyDescent="0.2">
      <c r="C75" s="153"/>
      <c r="D75" s="154"/>
      <c r="E75" s="155"/>
      <c r="G75" s="155"/>
      <c r="H75" s="156"/>
      <c r="I75" s="155"/>
      <c r="J75" s="157"/>
      <c r="K75" s="158"/>
      <c r="P75" s="5"/>
      <c r="Q75" s="5"/>
    </row>
    <row r="76" spans="1:17" x14ac:dyDescent="0.2">
      <c r="C76" s="159">
        <f ca="1">TODAY()</f>
        <v>43584</v>
      </c>
      <c r="F76" s="108"/>
      <c r="G76" s="365"/>
      <c r="H76" s="365"/>
      <c r="I76" s="365"/>
      <c r="J76" s="365"/>
      <c r="K76" s="127"/>
      <c r="O76" s="133"/>
      <c r="P76" s="5"/>
      <c r="Q76" s="5"/>
    </row>
    <row r="77" spans="1:17" x14ac:dyDescent="0.2">
      <c r="C77" s="126" t="s">
        <v>62</v>
      </c>
      <c r="E77" s="160" t="s">
        <v>63</v>
      </c>
      <c r="F77" s="108"/>
      <c r="G77" s="366" t="s">
        <v>64</v>
      </c>
      <c r="H77" s="366"/>
      <c r="I77" s="366"/>
      <c r="J77" s="366"/>
      <c r="K77" s="127"/>
      <c r="O77" s="133"/>
      <c r="P77" s="5"/>
      <c r="Q77" s="5"/>
    </row>
    <row r="78" spans="1:17" ht="12.75" x14ac:dyDescent="0.2">
      <c r="B78" s="161"/>
      <c r="C78" s="161"/>
      <c r="D78" s="161"/>
      <c r="E78" s="161"/>
      <c r="F78" s="161"/>
      <c r="G78" s="161"/>
      <c r="H78" s="161"/>
      <c r="I78" s="161"/>
      <c r="J78" s="161"/>
      <c r="K78" s="162"/>
      <c r="L78" s="163"/>
      <c r="M78" s="163"/>
      <c r="N78" s="163"/>
      <c r="O78" s="163"/>
      <c r="P78" s="133"/>
      <c r="Q78" s="5"/>
    </row>
    <row r="79" spans="1:17" ht="13.5" thickTop="1" x14ac:dyDescent="0.2">
      <c r="A79" s="363" t="s">
        <v>164</v>
      </c>
      <c r="B79" s="363"/>
      <c r="C79" s="363"/>
      <c r="D79" s="363"/>
      <c r="E79" s="363"/>
      <c r="F79" s="363"/>
      <c r="G79" s="363"/>
      <c r="H79" s="363"/>
      <c r="I79" s="363"/>
      <c r="J79" s="363"/>
      <c r="K79" s="164"/>
      <c r="L79" s="163"/>
      <c r="M79" s="165"/>
      <c r="N79" s="165"/>
      <c r="O79" s="165"/>
      <c r="P79" s="133"/>
      <c r="Q79" s="5"/>
    </row>
    <row r="80" spans="1:17" hidden="1" x14ac:dyDescent="0.2">
      <c r="P80" s="133"/>
      <c r="Q80" s="5"/>
    </row>
    <row r="81" spans="16:17" hidden="1" x14ac:dyDescent="0.2">
      <c r="P81" s="133"/>
      <c r="Q81" s="5"/>
    </row>
    <row r="82" spans="16:17" hidden="1" x14ac:dyDescent="0.2">
      <c r="P82" s="133"/>
      <c r="Q82" s="5"/>
    </row>
    <row r="83" spans="16:17" hidden="1" x14ac:dyDescent="0.2">
      <c r="P83" s="133"/>
      <c r="Q83" s="5"/>
    </row>
    <row r="84" spans="16:17" hidden="1" x14ac:dyDescent="0.2">
      <c r="P84" s="133"/>
      <c r="Q84" s="5"/>
    </row>
    <row r="85" spans="16:17" hidden="1" x14ac:dyDescent="0.2">
      <c r="P85" s="133"/>
      <c r="Q85" s="5"/>
    </row>
    <row r="86" spans="16:17" hidden="1" x14ac:dyDescent="0.2">
      <c r="P86" s="133"/>
      <c r="Q86" s="5"/>
    </row>
    <row r="87" spans="16:17" hidden="1" x14ac:dyDescent="0.2">
      <c r="P87" s="133"/>
      <c r="Q87" s="5"/>
    </row>
    <row r="88" spans="16:17" hidden="1" x14ac:dyDescent="0.2">
      <c r="P88" s="133"/>
      <c r="Q88" s="5"/>
    </row>
    <row r="89" spans="16:17" hidden="1" x14ac:dyDescent="0.2">
      <c r="P89" s="133"/>
      <c r="Q89" s="5"/>
    </row>
    <row r="90" spans="16:17" hidden="1" x14ac:dyDescent="0.2">
      <c r="P90" s="133"/>
      <c r="Q90" s="5"/>
    </row>
    <row r="91" spans="16:17" hidden="1" x14ac:dyDescent="0.2">
      <c r="P91" s="133"/>
      <c r="Q91" s="5"/>
    </row>
    <row r="92" spans="16:17" hidden="1" x14ac:dyDescent="0.2">
      <c r="P92" s="133"/>
      <c r="Q92" s="5"/>
    </row>
    <row r="93" spans="16:17" hidden="1" x14ac:dyDescent="0.2">
      <c r="P93" s="133"/>
      <c r="Q93" s="5"/>
    </row>
    <row r="94" spans="16:17" hidden="1" x14ac:dyDescent="0.2">
      <c r="P94" s="133"/>
      <c r="Q94" s="5"/>
    </row>
    <row r="95" spans="16:17" hidden="1" x14ac:dyDescent="0.2">
      <c r="P95" s="133"/>
      <c r="Q95" s="5"/>
    </row>
    <row r="96" spans="16:17" hidden="1" x14ac:dyDescent="0.2">
      <c r="P96" s="133"/>
      <c r="Q96" s="5"/>
    </row>
    <row r="97" spans="16:17" hidden="1" x14ac:dyDescent="0.2">
      <c r="P97" s="133"/>
      <c r="Q97" s="5"/>
    </row>
    <row r="98" spans="16:17" hidden="1" x14ac:dyDescent="0.2">
      <c r="P98" s="133"/>
      <c r="Q98" s="5"/>
    </row>
    <row r="99" spans="16:17" hidden="1" x14ac:dyDescent="0.2">
      <c r="P99" s="133"/>
      <c r="Q99" s="5"/>
    </row>
    <row r="100" spans="16:17" hidden="1" x14ac:dyDescent="0.2">
      <c r="P100" s="133"/>
      <c r="Q100" s="5"/>
    </row>
    <row r="101" spans="16:17" hidden="1" x14ac:dyDescent="0.2">
      <c r="P101" s="133"/>
      <c r="Q101" s="5"/>
    </row>
    <row r="102" spans="16:17" hidden="1" x14ac:dyDescent="0.2">
      <c r="P102" s="133"/>
      <c r="Q102" s="5"/>
    </row>
    <row r="103" spans="16:17" hidden="1" x14ac:dyDescent="0.2">
      <c r="P103" s="133"/>
      <c r="Q103" s="5"/>
    </row>
    <row r="104" spans="16:17" hidden="1" x14ac:dyDescent="0.2">
      <c r="P104" s="133"/>
      <c r="Q104" s="5"/>
    </row>
    <row r="105" spans="16:17" hidden="1" x14ac:dyDescent="0.2">
      <c r="P105" s="133"/>
      <c r="Q105" s="5"/>
    </row>
    <row r="106" spans="16:17" hidden="1" x14ac:dyDescent="0.2">
      <c r="P106" s="133"/>
      <c r="Q106" s="5"/>
    </row>
    <row r="107" spans="16:17" hidden="1" x14ac:dyDescent="0.2">
      <c r="P107" s="133"/>
      <c r="Q107" s="5"/>
    </row>
    <row r="108" spans="16:17" hidden="1" x14ac:dyDescent="0.2">
      <c r="P108" s="133"/>
      <c r="Q108" s="5"/>
    </row>
    <row r="109" spans="16:17" hidden="1" x14ac:dyDescent="0.2">
      <c r="P109" s="133"/>
      <c r="Q109" s="5"/>
    </row>
    <row r="110" spans="16:17" hidden="1" x14ac:dyDescent="0.2">
      <c r="P110" s="133"/>
      <c r="Q110" s="5"/>
    </row>
    <row r="111" spans="16:17" hidden="1" x14ac:dyDescent="0.2">
      <c r="P111" s="133"/>
      <c r="Q111" s="5"/>
    </row>
    <row r="112" spans="16:17" hidden="1" x14ac:dyDescent="0.2">
      <c r="P112" s="133"/>
      <c r="Q112" s="5"/>
    </row>
    <row r="113" spans="16:17" hidden="1" x14ac:dyDescent="0.2">
      <c r="P113" s="133"/>
      <c r="Q113" s="5"/>
    </row>
    <row r="114" spans="16:17" hidden="1" x14ac:dyDescent="0.2">
      <c r="P114" s="133"/>
      <c r="Q114" s="5"/>
    </row>
    <row r="115" spans="16:17" hidden="1" x14ac:dyDescent="0.2">
      <c r="P115" s="133"/>
      <c r="Q115" s="5"/>
    </row>
    <row r="116" spans="16:17" hidden="1" x14ac:dyDescent="0.2">
      <c r="P116" s="133"/>
      <c r="Q116" s="5"/>
    </row>
    <row r="117" spans="16:17" hidden="1" x14ac:dyDescent="0.2">
      <c r="P117" s="133"/>
      <c r="Q117" s="5"/>
    </row>
    <row r="118" spans="16:17" hidden="1" x14ac:dyDescent="0.2">
      <c r="P118" s="133"/>
      <c r="Q118" s="5"/>
    </row>
    <row r="119" spans="16:17" hidden="1" x14ac:dyDescent="0.2">
      <c r="P119" s="133"/>
      <c r="Q119" s="5"/>
    </row>
    <row r="120" spans="16:17" hidden="1" x14ac:dyDescent="0.2">
      <c r="P120" s="133"/>
      <c r="Q120" s="5"/>
    </row>
    <row r="121" spans="16:17" hidden="1" x14ac:dyDescent="0.2">
      <c r="P121" s="133"/>
      <c r="Q121" s="5"/>
    </row>
    <row r="122" spans="16:17" hidden="1" x14ac:dyDescent="0.2">
      <c r="P122" s="133"/>
      <c r="Q122" s="5"/>
    </row>
    <row r="123" spans="16:17" hidden="1" x14ac:dyDescent="0.2">
      <c r="P123" s="133"/>
      <c r="Q123" s="5"/>
    </row>
    <row r="124" spans="16:17" hidden="1" x14ac:dyDescent="0.2">
      <c r="P124" s="133"/>
      <c r="Q124" s="5"/>
    </row>
    <row r="125" spans="16:17" hidden="1" x14ac:dyDescent="0.2">
      <c r="P125" s="133"/>
      <c r="Q125" s="5"/>
    </row>
    <row r="126" spans="16:17" hidden="1" x14ac:dyDescent="0.2">
      <c r="P126" s="133"/>
      <c r="Q126" s="5"/>
    </row>
    <row r="127" spans="16:17" hidden="1" x14ac:dyDescent="0.2">
      <c r="P127" s="133"/>
      <c r="Q127" s="5"/>
    </row>
    <row r="128" spans="16:17" hidden="1" x14ac:dyDescent="0.2">
      <c r="P128" s="133"/>
      <c r="Q128" s="5"/>
    </row>
    <row r="129" spans="16:17" hidden="1" x14ac:dyDescent="0.2">
      <c r="P129" s="133"/>
      <c r="Q129" s="5"/>
    </row>
    <row r="130" spans="16:17" hidden="1" x14ac:dyDescent="0.2">
      <c r="P130" s="133"/>
      <c r="Q130" s="5"/>
    </row>
    <row r="131" spans="16:17" hidden="1" x14ac:dyDescent="0.2">
      <c r="P131" s="133"/>
      <c r="Q131" s="5"/>
    </row>
    <row r="132" spans="16:17" hidden="1" x14ac:dyDescent="0.2">
      <c r="P132" s="133"/>
      <c r="Q132" s="5"/>
    </row>
    <row r="133" spans="16:17" hidden="1" x14ac:dyDescent="0.2">
      <c r="P133" s="133"/>
      <c r="Q133" s="5"/>
    </row>
    <row r="134" spans="16:17" hidden="1" x14ac:dyDescent="0.2">
      <c r="P134" s="133"/>
      <c r="Q134" s="5"/>
    </row>
    <row r="135" spans="16:17" hidden="1" x14ac:dyDescent="0.2">
      <c r="P135" s="133"/>
      <c r="Q135" s="5"/>
    </row>
    <row r="136" spans="16:17" hidden="1" x14ac:dyDescent="0.2">
      <c r="P136" s="133"/>
      <c r="Q136" s="5"/>
    </row>
    <row r="137" spans="16:17" hidden="1" x14ac:dyDescent="0.2">
      <c r="P137" s="133"/>
      <c r="Q137" s="5"/>
    </row>
    <row r="138" spans="16:17" hidden="1" x14ac:dyDescent="0.2">
      <c r="P138" s="133"/>
      <c r="Q138" s="5"/>
    </row>
    <row r="139" spans="16:17" hidden="1" x14ac:dyDescent="0.2">
      <c r="P139" s="133"/>
      <c r="Q139" s="5"/>
    </row>
    <row r="140" spans="16:17" hidden="1" x14ac:dyDescent="0.2">
      <c r="P140" s="133"/>
      <c r="Q140" s="5"/>
    </row>
    <row r="141" spans="16:17" hidden="1" x14ac:dyDescent="0.2">
      <c r="P141" s="133"/>
      <c r="Q141" s="5"/>
    </row>
    <row r="142" spans="16:17" hidden="1" x14ac:dyDescent="0.2">
      <c r="P142" s="133"/>
      <c r="Q142" s="5"/>
    </row>
    <row r="143" spans="16:17" hidden="1" x14ac:dyDescent="0.2">
      <c r="P143" s="133"/>
      <c r="Q143" s="5"/>
    </row>
    <row r="144" spans="16:17" hidden="1" x14ac:dyDescent="0.2">
      <c r="P144" s="133"/>
      <c r="Q144" s="5"/>
    </row>
    <row r="145" spans="16:17" hidden="1" x14ac:dyDescent="0.2">
      <c r="P145" s="133"/>
      <c r="Q145" s="5"/>
    </row>
    <row r="146" spans="16:17" hidden="1" x14ac:dyDescent="0.2">
      <c r="P146" s="133"/>
      <c r="Q146" s="5"/>
    </row>
    <row r="147" spans="16:17" hidden="1" x14ac:dyDescent="0.2">
      <c r="P147" s="133"/>
      <c r="Q147" s="5"/>
    </row>
    <row r="148" spans="16:17" hidden="1" x14ac:dyDescent="0.2">
      <c r="P148" s="133"/>
      <c r="Q148" s="5"/>
    </row>
    <row r="149" spans="16:17" hidden="1" x14ac:dyDescent="0.2">
      <c r="P149" s="133"/>
      <c r="Q149" s="5"/>
    </row>
    <row r="150" spans="16:17" hidden="1" x14ac:dyDescent="0.2">
      <c r="P150" s="133"/>
      <c r="Q150" s="5"/>
    </row>
    <row r="151" spans="16:17" hidden="1" x14ac:dyDescent="0.2">
      <c r="P151" s="133"/>
      <c r="Q151" s="5"/>
    </row>
    <row r="152" spans="16:17" hidden="1" x14ac:dyDescent="0.2">
      <c r="P152" s="133"/>
      <c r="Q152" s="5"/>
    </row>
    <row r="153" spans="16:17" hidden="1" x14ac:dyDescent="0.2">
      <c r="P153" s="133"/>
      <c r="Q153" s="5"/>
    </row>
    <row r="154" spans="16:17" hidden="1" x14ac:dyDescent="0.2">
      <c r="P154" s="133"/>
      <c r="Q154" s="5"/>
    </row>
    <row r="155" spans="16:17" hidden="1" x14ac:dyDescent="0.2">
      <c r="P155" s="133"/>
      <c r="Q155" s="5"/>
    </row>
    <row r="156" spans="16:17" hidden="1" x14ac:dyDescent="0.2">
      <c r="P156" s="133"/>
      <c r="Q156" s="5"/>
    </row>
    <row r="157" spans="16:17" hidden="1" x14ac:dyDescent="0.2">
      <c r="P157" s="133"/>
      <c r="Q157" s="5"/>
    </row>
    <row r="158" spans="16:17" hidden="1" x14ac:dyDescent="0.2">
      <c r="P158" s="133"/>
      <c r="Q158" s="5"/>
    </row>
    <row r="159" spans="16:17" hidden="1" x14ac:dyDescent="0.2">
      <c r="P159" s="133"/>
      <c r="Q159" s="5"/>
    </row>
    <row r="160" spans="16:17" hidden="1" x14ac:dyDescent="0.2">
      <c r="P160" s="133"/>
      <c r="Q160" s="5"/>
    </row>
    <row r="161" spans="16:17" hidden="1" x14ac:dyDescent="0.2">
      <c r="P161" s="133"/>
      <c r="Q161" s="5"/>
    </row>
    <row r="162" spans="16:17" hidden="1" x14ac:dyDescent="0.2">
      <c r="P162" s="133"/>
      <c r="Q162" s="5"/>
    </row>
    <row r="163" spans="16:17" hidden="1" x14ac:dyDescent="0.2">
      <c r="P163" s="133"/>
      <c r="Q163" s="5"/>
    </row>
    <row r="164" spans="16:17" hidden="1" x14ac:dyDescent="0.2">
      <c r="P164" s="133"/>
      <c r="Q164" s="5"/>
    </row>
    <row r="165" spans="16:17" hidden="1" x14ac:dyDescent="0.2">
      <c r="P165" s="133"/>
      <c r="Q165" s="5"/>
    </row>
    <row r="166" spans="16:17" hidden="1" x14ac:dyDescent="0.2">
      <c r="P166" s="133"/>
      <c r="Q166" s="5"/>
    </row>
    <row r="167" spans="16:17" hidden="1" x14ac:dyDescent="0.2">
      <c r="P167" s="133"/>
      <c r="Q167" s="5"/>
    </row>
    <row r="168" spans="16:17" hidden="1" x14ac:dyDescent="0.2">
      <c r="P168" s="133"/>
      <c r="Q168" s="5"/>
    </row>
    <row r="169" spans="16:17" hidden="1" x14ac:dyDescent="0.2">
      <c r="P169" s="133"/>
      <c r="Q169" s="5"/>
    </row>
    <row r="170" spans="16:17" hidden="1" x14ac:dyDescent="0.2">
      <c r="P170" s="133"/>
      <c r="Q170" s="5"/>
    </row>
    <row r="171" spans="16:17" hidden="1" x14ac:dyDescent="0.2">
      <c r="P171" s="133"/>
      <c r="Q171" s="5"/>
    </row>
    <row r="172" spans="16:17" hidden="1" x14ac:dyDescent="0.2">
      <c r="P172" s="133"/>
      <c r="Q172" s="5"/>
    </row>
    <row r="173" spans="16:17" hidden="1" x14ac:dyDescent="0.2">
      <c r="P173" s="133"/>
      <c r="Q173" s="5"/>
    </row>
    <row r="174" spans="16:17" hidden="1" x14ac:dyDescent="0.2">
      <c r="P174" s="133"/>
      <c r="Q174" s="5"/>
    </row>
    <row r="175" spans="16:17" hidden="1" x14ac:dyDescent="0.2">
      <c r="P175" s="133"/>
      <c r="Q175" s="5"/>
    </row>
    <row r="176" spans="16:17" hidden="1" x14ac:dyDescent="0.2">
      <c r="P176" s="133"/>
      <c r="Q176" s="5"/>
    </row>
    <row r="177" spans="16:17" hidden="1" x14ac:dyDescent="0.2">
      <c r="P177" s="133"/>
      <c r="Q177" s="5"/>
    </row>
    <row r="178" spans="16:17" hidden="1" x14ac:dyDescent="0.2">
      <c r="P178" s="133"/>
      <c r="Q178" s="5"/>
    </row>
    <row r="179" spans="16:17" hidden="1" x14ac:dyDescent="0.2">
      <c r="P179" s="133"/>
      <c r="Q179" s="5"/>
    </row>
    <row r="180" spans="16:17" hidden="1" x14ac:dyDescent="0.2">
      <c r="P180" s="133"/>
      <c r="Q180" s="5"/>
    </row>
    <row r="181" spans="16:17" hidden="1" x14ac:dyDescent="0.2">
      <c r="P181" s="133"/>
      <c r="Q181" s="5"/>
    </row>
    <row r="182" spans="16:17" hidden="1" x14ac:dyDescent="0.2">
      <c r="P182" s="133"/>
      <c r="Q182" s="5"/>
    </row>
    <row r="183" spans="16:17" hidden="1" x14ac:dyDescent="0.2">
      <c r="P183" s="133"/>
      <c r="Q183" s="5"/>
    </row>
    <row r="184" spans="16:17" hidden="1" x14ac:dyDescent="0.2">
      <c r="P184" s="133"/>
      <c r="Q184" s="5"/>
    </row>
    <row r="185" spans="16:17" hidden="1" x14ac:dyDescent="0.2">
      <c r="P185" s="133"/>
      <c r="Q185" s="5"/>
    </row>
    <row r="186" spans="16:17" hidden="1" x14ac:dyDescent="0.2">
      <c r="P186" s="133"/>
      <c r="Q186" s="5"/>
    </row>
    <row r="187" spans="16:17" hidden="1" x14ac:dyDescent="0.2">
      <c r="P187" s="133"/>
      <c r="Q187" s="5"/>
    </row>
    <row r="188" spans="16:17" hidden="1" x14ac:dyDescent="0.2">
      <c r="P188" s="133"/>
      <c r="Q188" s="5"/>
    </row>
    <row r="189" spans="16:17" hidden="1" x14ac:dyDescent="0.2">
      <c r="P189" s="133"/>
      <c r="Q189" s="5"/>
    </row>
    <row r="190" spans="16:17" hidden="1" x14ac:dyDescent="0.2">
      <c r="P190" s="133"/>
      <c r="Q190" s="5"/>
    </row>
    <row r="191" spans="16:17" hidden="1" x14ac:dyDescent="0.2">
      <c r="P191" s="133"/>
      <c r="Q191" s="5"/>
    </row>
    <row r="192" spans="16:17" hidden="1" x14ac:dyDescent="0.2">
      <c r="P192" s="133"/>
      <c r="Q192" s="5"/>
    </row>
    <row r="193" spans="16:17" hidden="1" x14ac:dyDescent="0.2">
      <c r="P193" s="133"/>
      <c r="Q193" s="5"/>
    </row>
    <row r="194" spans="16:17" hidden="1" x14ac:dyDescent="0.2">
      <c r="P194" s="133"/>
      <c r="Q194" s="5"/>
    </row>
    <row r="195" spans="16:17" hidden="1" x14ac:dyDescent="0.2">
      <c r="P195" s="133"/>
      <c r="Q195" s="5"/>
    </row>
    <row r="196" spans="16:17" hidden="1" x14ac:dyDescent="0.2">
      <c r="P196" s="133"/>
      <c r="Q196" s="5"/>
    </row>
    <row r="197" spans="16:17" hidden="1" x14ac:dyDescent="0.2">
      <c r="P197" s="133"/>
      <c r="Q197" s="5"/>
    </row>
    <row r="198" spans="16:17" hidden="1" x14ac:dyDescent="0.2">
      <c r="P198" s="133"/>
      <c r="Q198" s="5"/>
    </row>
    <row r="199" spans="16:17" hidden="1" x14ac:dyDescent="0.2">
      <c r="P199" s="133"/>
      <c r="Q199" s="5"/>
    </row>
    <row r="200" spans="16:17" hidden="1" x14ac:dyDescent="0.2">
      <c r="P200" s="133"/>
      <c r="Q200" s="5"/>
    </row>
    <row r="201" spans="16:17" hidden="1" x14ac:dyDescent="0.2">
      <c r="P201" s="133"/>
      <c r="Q201" s="5"/>
    </row>
    <row r="202" spans="16:17" hidden="1" x14ac:dyDescent="0.2">
      <c r="P202" s="133"/>
      <c r="Q202" s="5"/>
    </row>
    <row r="203" spans="16:17" hidden="1" x14ac:dyDescent="0.2">
      <c r="P203" s="133"/>
      <c r="Q203" s="5"/>
    </row>
    <row r="204" spans="16:17" hidden="1" x14ac:dyDescent="0.2">
      <c r="P204" s="133"/>
      <c r="Q204" s="5"/>
    </row>
    <row r="205" spans="16:17" hidden="1" x14ac:dyDescent="0.2">
      <c r="P205" s="133"/>
      <c r="Q205" s="5"/>
    </row>
    <row r="206" spans="16:17" hidden="1" x14ac:dyDescent="0.2">
      <c r="P206" s="133"/>
      <c r="Q206" s="5"/>
    </row>
    <row r="207" spans="16:17" hidden="1" x14ac:dyDescent="0.2">
      <c r="P207" s="133"/>
      <c r="Q207" s="5"/>
    </row>
    <row r="208" spans="16:17" hidden="1" x14ac:dyDescent="0.2">
      <c r="P208" s="133"/>
      <c r="Q208" s="5"/>
    </row>
    <row r="209" spans="16:17" hidden="1" x14ac:dyDescent="0.2">
      <c r="P209" s="133"/>
      <c r="Q209" s="5"/>
    </row>
    <row r="210" spans="16:17" hidden="1" x14ac:dyDescent="0.2">
      <c r="P210" s="133"/>
      <c r="Q210" s="5"/>
    </row>
    <row r="211" spans="16:17" hidden="1" x14ac:dyDescent="0.2">
      <c r="P211" s="133"/>
      <c r="Q211" s="5"/>
    </row>
    <row r="212" spans="16:17" hidden="1" x14ac:dyDescent="0.2">
      <c r="P212" s="133"/>
      <c r="Q212" s="5"/>
    </row>
    <row r="213" spans="16:17" hidden="1" x14ac:dyDescent="0.2">
      <c r="P213" s="133"/>
      <c r="Q213" s="5"/>
    </row>
    <row r="214" spans="16:17" hidden="1" x14ac:dyDescent="0.2">
      <c r="P214" s="133"/>
      <c r="Q214" s="5"/>
    </row>
    <row r="215" spans="16:17" hidden="1" x14ac:dyDescent="0.2">
      <c r="P215" s="133"/>
      <c r="Q215" s="5"/>
    </row>
    <row r="216" spans="16:17" hidden="1" x14ac:dyDescent="0.2">
      <c r="P216" s="133"/>
      <c r="Q216" s="5"/>
    </row>
    <row r="217" spans="16:17" hidden="1" x14ac:dyDescent="0.2">
      <c r="P217" s="133"/>
      <c r="Q217" s="5"/>
    </row>
    <row r="218" spans="16:17" hidden="1" x14ac:dyDescent="0.2">
      <c r="P218" s="133"/>
      <c r="Q218" s="5"/>
    </row>
    <row r="219" spans="16:17" hidden="1" x14ac:dyDescent="0.2">
      <c r="P219" s="133"/>
      <c r="Q219" s="5"/>
    </row>
    <row r="220" spans="16:17" hidden="1" x14ac:dyDescent="0.2">
      <c r="P220" s="133"/>
      <c r="Q220" s="5"/>
    </row>
    <row r="221" spans="16:17" hidden="1" x14ac:dyDescent="0.2">
      <c r="P221" s="133"/>
      <c r="Q221" s="5"/>
    </row>
    <row r="222" spans="16:17" hidden="1" x14ac:dyDescent="0.2">
      <c r="P222" s="133"/>
      <c r="Q222" s="5"/>
    </row>
    <row r="223" spans="16:17" hidden="1" x14ac:dyDescent="0.2">
      <c r="P223" s="133"/>
      <c r="Q223" s="5"/>
    </row>
    <row r="224" spans="16:17" hidden="1" x14ac:dyDescent="0.2">
      <c r="P224" s="133"/>
      <c r="Q224" s="5"/>
    </row>
    <row r="225" spans="16:17" hidden="1" x14ac:dyDescent="0.2">
      <c r="P225" s="133"/>
      <c r="Q225" s="5"/>
    </row>
    <row r="226" spans="16:17" hidden="1" x14ac:dyDescent="0.2">
      <c r="P226" s="133"/>
      <c r="Q226" s="5"/>
    </row>
    <row r="227" spans="16:17" hidden="1" x14ac:dyDescent="0.2">
      <c r="P227" s="133"/>
      <c r="Q227" s="5"/>
    </row>
    <row r="228" spans="16:17" hidden="1" x14ac:dyDescent="0.2">
      <c r="P228" s="133"/>
      <c r="Q228" s="5"/>
    </row>
    <row r="229" spans="16:17" hidden="1" x14ac:dyDescent="0.2">
      <c r="P229" s="133"/>
      <c r="Q229" s="5"/>
    </row>
    <row r="230" spans="16:17" hidden="1" x14ac:dyDescent="0.2">
      <c r="P230" s="133"/>
      <c r="Q230" s="5"/>
    </row>
    <row r="231" spans="16:17" hidden="1" x14ac:dyDescent="0.2">
      <c r="P231" s="133"/>
      <c r="Q231" s="5"/>
    </row>
    <row r="232" spans="16:17" hidden="1" x14ac:dyDescent="0.2">
      <c r="P232" s="133"/>
      <c r="Q232" s="5"/>
    </row>
    <row r="233" spans="16:17" hidden="1" x14ac:dyDescent="0.2">
      <c r="P233" s="133"/>
      <c r="Q233" s="5"/>
    </row>
    <row r="234" spans="16:17" hidden="1" x14ac:dyDescent="0.2">
      <c r="P234" s="133"/>
      <c r="Q234" s="5"/>
    </row>
    <row r="235" spans="16:17" hidden="1" x14ac:dyDescent="0.2">
      <c r="P235" s="133"/>
      <c r="Q235" s="5"/>
    </row>
    <row r="236" spans="16:17" hidden="1" x14ac:dyDescent="0.2">
      <c r="P236" s="133"/>
      <c r="Q236" s="5"/>
    </row>
    <row r="237" spans="16:17" hidden="1" x14ac:dyDescent="0.2">
      <c r="P237" s="133"/>
      <c r="Q237" s="5"/>
    </row>
    <row r="238" spans="16:17" hidden="1" x14ac:dyDescent="0.2">
      <c r="Q238" s="5"/>
    </row>
    <row r="239" spans="16:17" hidden="1" x14ac:dyDescent="0.2">
      <c r="Q239" s="5"/>
    </row>
    <row r="240" spans="16:17" hidden="1" x14ac:dyDescent="0.2">
      <c r="Q240" s="5"/>
    </row>
    <row r="241" spans="17:17" hidden="1" x14ac:dyDescent="0.2">
      <c r="Q241" s="5"/>
    </row>
    <row r="242" spans="17:17" hidden="1" x14ac:dyDescent="0.2">
      <c r="Q242" s="5"/>
    </row>
    <row r="243" spans="17:17" hidden="1" x14ac:dyDescent="0.2">
      <c r="Q243" s="5"/>
    </row>
    <row r="244" spans="17:17" hidden="1" x14ac:dyDescent="0.2">
      <c r="Q244" s="5"/>
    </row>
    <row r="245" spans="17:17" hidden="1" x14ac:dyDescent="0.2">
      <c r="Q245" s="5"/>
    </row>
    <row r="246" spans="17:17" hidden="1" x14ac:dyDescent="0.2">
      <c r="Q246" s="5"/>
    </row>
    <row r="247" spans="17:17" hidden="1" x14ac:dyDescent="0.2">
      <c r="Q247" s="5"/>
    </row>
    <row r="248" spans="17:17" hidden="1" x14ac:dyDescent="0.2">
      <c r="Q248" s="5"/>
    </row>
    <row r="249" spans="17:17" hidden="1" x14ac:dyDescent="0.2">
      <c r="Q249" s="5"/>
    </row>
    <row r="250" spans="17:17" hidden="1" x14ac:dyDescent="0.2">
      <c r="Q250" s="5"/>
    </row>
    <row r="251" spans="17:17" hidden="1" x14ac:dyDescent="0.2">
      <c r="Q251" s="5"/>
    </row>
    <row r="252" spans="17:17" hidden="1" x14ac:dyDescent="0.2">
      <c r="Q252" s="5"/>
    </row>
    <row r="253" spans="17:17" hidden="1" x14ac:dyDescent="0.2">
      <c r="Q253" s="5"/>
    </row>
    <row r="254" spans="17:17" hidden="1" x14ac:dyDescent="0.2">
      <c r="Q254" s="5"/>
    </row>
    <row r="255" spans="17:17" hidden="1" x14ac:dyDescent="0.2">
      <c r="Q255" s="5"/>
    </row>
    <row r="256" spans="17:17" hidden="1" x14ac:dyDescent="0.2">
      <c r="Q256" s="5"/>
    </row>
    <row r="257" spans="17:17" hidden="1" x14ac:dyDescent="0.2">
      <c r="Q257" s="5"/>
    </row>
    <row r="258" spans="17:17" hidden="1" x14ac:dyDescent="0.2">
      <c r="Q258" s="5"/>
    </row>
    <row r="259" spans="17:17" x14ac:dyDescent="0.2">
      <c r="Q259" s="5"/>
    </row>
    <row r="260" spans="17:17" x14ac:dyDescent="0.2">
      <c r="Q260" s="5"/>
    </row>
    <row r="261" spans="17:17" x14ac:dyDescent="0.2">
      <c r="Q261" s="5"/>
    </row>
    <row r="262" spans="17:17" x14ac:dyDescent="0.2">
      <c r="Q262" s="5"/>
    </row>
    <row r="263" spans="17:17" x14ac:dyDescent="0.2">
      <c r="Q263" s="5"/>
    </row>
    <row r="264" spans="17:17" x14ac:dyDescent="0.2">
      <c r="Q264" s="5"/>
    </row>
    <row r="265" spans="17:17" x14ac:dyDescent="0.2">
      <c r="Q265" s="5"/>
    </row>
    <row r="266" spans="17:17" x14ac:dyDescent="0.2">
      <c r="Q266" s="5"/>
    </row>
    <row r="267" spans="17:17" x14ac:dyDescent="0.2">
      <c r="Q267" s="5"/>
    </row>
    <row r="268" spans="17:17" x14ac:dyDescent="0.2">
      <c r="Q268" s="5"/>
    </row>
    <row r="269" spans="17:17" x14ac:dyDescent="0.2">
      <c r="Q269" s="5"/>
    </row>
    <row r="270" spans="17:17" x14ac:dyDescent="0.2">
      <c r="Q270" s="5"/>
    </row>
    <row r="271" spans="17:17" x14ac:dyDescent="0.2">
      <c r="Q271" s="5"/>
    </row>
    <row r="272" spans="17:17" x14ac:dyDescent="0.2">
      <c r="Q272" s="5"/>
    </row>
    <row r="273" spans="17:17" x14ac:dyDescent="0.2">
      <c r="Q273" s="5"/>
    </row>
    <row r="274" spans="17:17" x14ac:dyDescent="0.2">
      <c r="Q274" s="5"/>
    </row>
    <row r="275" spans="17:17" x14ac:dyDescent="0.2">
      <c r="Q275" s="5"/>
    </row>
    <row r="276" spans="17:17" x14ac:dyDescent="0.2">
      <c r="Q276" s="5"/>
    </row>
    <row r="277" spans="17:17" x14ac:dyDescent="0.2">
      <c r="Q277" s="5"/>
    </row>
    <row r="278" spans="17:17" x14ac:dyDescent="0.2">
      <c r="Q278" s="5"/>
    </row>
    <row r="279" spans="17:17" x14ac:dyDescent="0.2">
      <c r="Q279" s="5"/>
    </row>
    <row r="280" spans="17:17" x14ac:dyDescent="0.2">
      <c r="Q280" s="5"/>
    </row>
    <row r="281" spans="17:17" x14ac:dyDescent="0.2">
      <c r="Q281" s="5"/>
    </row>
    <row r="282" spans="17:17" x14ac:dyDescent="0.2">
      <c r="Q282" s="5"/>
    </row>
    <row r="283" spans="17:17" x14ac:dyDescent="0.2">
      <c r="Q283" s="5"/>
    </row>
    <row r="284" spans="17:17" x14ac:dyDescent="0.2">
      <c r="Q284" s="5"/>
    </row>
    <row r="285" spans="17:17" x14ac:dyDescent="0.2">
      <c r="Q285" s="5"/>
    </row>
    <row r="286" spans="17:17" x14ac:dyDescent="0.2">
      <c r="Q286" s="5"/>
    </row>
    <row r="287" spans="17:17" x14ac:dyDescent="0.2">
      <c r="Q287" s="5"/>
    </row>
    <row r="288" spans="17:17" x14ac:dyDescent="0.2">
      <c r="Q288" s="5"/>
    </row>
    <row r="289" spans="17:17" x14ac:dyDescent="0.2">
      <c r="Q289" s="5"/>
    </row>
    <row r="290" spans="17:17" x14ac:dyDescent="0.2">
      <c r="Q290" s="5"/>
    </row>
    <row r="291" spans="17:17" x14ac:dyDescent="0.2">
      <c r="Q291" s="5"/>
    </row>
    <row r="292" spans="17:17" x14ac:dyDescent="0.2">
      <c r="Q292" s="5"/>
    </row>
    <row r="293" spans="17:17" x14ac:dyDescent="0.2">
      <c r="Q293" s="5"/>
    </row>
    <row r="294" spans="17:17" x14ac:dyDescent="0.2">
      <c r="Q294" s="5"/>
    </row>
    <row r="295" spans="17:17" x14ac:dyDescent="0.2">
      <c r="Q295" s="5"/>
    </row>
    <row r="296" spans="17:17" x14ac:dyDescent="0.2">
      <c r="Q296" s="5"/>
    </row>
    <row r="297" spans="17:17" x14ac:dyDescent="0.2">
      <c r="Q297" s="5"/>
    </row>
    <row r="298" spans="17:17" x14ac:dyDescent="0.2">
      <c r="Q298" s="5"/>
    </row>
    <row r="299" spans="17:17" x14ac:dyDescent="0.2">
      <c r="Q299" s="5"/>
    </row>
    <row r="300" spans="17:17" x14ac:dyDescent="0.2">
      <c r="Q300" s="5"/>
    </row>
    <row r="301" spans="17:17" x14ac:dyDescent="0.2">
      <c r="Q301" s="5"/>
    </row>
    <row r="302" spans="17:17" x14ac:dyDescent="0.2">
      <c r="Q302" s="5"/>
    </row>
    <row r="303" spans="17:17" x14ac:dyDescent="0.2">
      <c r="Q303" s="5"/>
    </row>
    <row r="304" spans="17:17" x14ac:dyDescent="0.2">
      <c r="Q304" s="5"/>
    </row>
    <row r="305" spans="17:17" x14ac:dyDescent="0.2">
      <c r="Q305" s="5"/>
    </row>
    <row r="306" spans="17:17" x14ac:dyDescent="0.2">
      <c r="Q306" s="5"/>
    </row>
    <row r="307" spans="17:17" x14ac:dyDescent="0.2">
      <c r="Q307" s="5"/>
    </row>
    <row r="308" spans="17:17" x14ac:dyDescent="0.2">
      <c r="Q308" s="5"/>
    </row>
    <row r="309" spans="17:17" x14ac:dyDescent="0.2">
      <c r="Q309" s="5"/>
    </row>
    <row r="310" spans="17:17" x14ac:dyDescent="0.2">
      <c r="Q310" s="5"/>
    </row>
    <row r="311" spans="17:17" x14ac:dyDescent="0.2">
      <c r="Q311" s="5"/>
    </row>
    <row r="312" spans="17:17" x14ac:dyDescent="0.2">
      <c r="Q312" s="5"/>
    </row>
    <row r="313" spans="17:17" x14ac:dyDescent="0.2">
      <c r="Q313" s="5"/>
    </row>
    <row r="314" spans="17:17" x14ac:dyDescent="0.2">
      <c r="Q314" s="5"/>
    </row>
    <row r="315" spans="17:17" x14ac:dyDescent="0.2">
      <c r="Q315" s="5"/>
    </row>
    <row r="316" spans="17:17" x14ac:dyDescent="0.2">
      <c r="Q316" s="5"/>
    </row>
    <row r="317" spans="17:17" x14ac:dyDescent="0.2">
      <c r="Q317" s="5"/>
    </row>
    <row r="318" spans="17:17" x14ac:dyDescent="0.2">
      <c r="Q318" s="5"/>
    </row>
    <row r="319" spans="17:17" x14ac:dyDescent="0.2">
      <c r="Q319" s="5"/>
    </row>
    <row r="320" spans="17:17" x14ac:dyDescent="0.2">
      <c r="Q320" s="5"/>
    </row>
    <row r="321" spans="17:17" x14ac:dyDescent="0.2">
      <c r="Q321" s="5"/>
    </row>
    <row r="322" spans="17:17" x14ac:dyDescent="0.2">
      <c r="Q322" s="5"/>
    </row>
    <row r="323" spans="17:17" x14ac:dyDescent="0.2">
      <c r="Q323" s="5"/>
    </row>
    <row r="324" spans="17:17" x14ac:dyDescent="0.2">
      <c r="Q324" s="5"/>
    </row>
    <row r="325" spans="17:17" x14ac:dyDescent="0.2">
      <c r="Q325" s="5"/>
    </row>
    <row r="326" spans="17:17" x14ac:dyDescent="0.2">
      <c r="Q326" s="5"/>
    </row>
    <row r="327" spans="17:17" x14ac:dyDescent="0.2">
      <c r="Q327" s="5"/>
    </row>
    <row r="328" spans="17:17" x14ac:dyDescent="0.2">
      <c r="Q328" s="5"/>
    </row>
    <row r="329" spans="17:17" x14ac:dyDescent="0.2">
      <c r="Q329" s="5"/>
    </row>
    <row r="330" spans="17:17" x14ac:dyDescent="0.2">
      <c r="Q330" s="5"/>
    </row>
    <row r="331" spans="17:17" x14ac:dyDescent="0.2">
      <c r="Q331" s="5"/>
    </row>
    <row r="332" spans="17:17" x14ac:dyDescent="0.2">
      <c r="Q332" s="5"/>
    </row>
    <row r="333" spans="17:17" x14ac:dyDescent="0.2">
      <c r="Q333" s="5"/>
    </row>
    <row r="334" spans="17:17" x14ac:dyDescent="0.2">
      <c r="Q334" s="5"/>
    </row>
    <row r="335" spans="17:17" x14ac:dyDescent="0.2">
      <c r="Q335" s="5"/>
    </row>
    <row r="336" spans="17:17" x14ac:dyDescent="0.2">
      <c r="Q336" s="5"/>
    </row>
    <row r="337" spans="17:17" x14ac:dyDescent="0.2">
      <c r="Q337" s="5"/>
    </row>
    <row r="338" spans="17:17" x14ac:dyDescent="0.2">
      <c r="Q338" s="5"/>
    </row>
    <row r="339" spans="17:17" x14ac:dyDescent="0.2">
      <c r="Q339" s="5"/>
    </row>
    <row r="340" spans="17:17" x14ac:dyDescent="0.2">
      <c r="Q340" s="5"/>
    </row>
    <row r="341" spans="17:17" x14ac:dyDescent="0.2">
      <c r="Q341" s="5"/>
    </row>
    <row r="342" spans="17:17" x14ac:dyDescent="0.2">
      <c r="Q342" s="5"/>
    </row>
    <row r="343" spans="17:17" x14ac:dyDescent="0.2">
      <c r="Q343" s="5"/>
    </row>
    <row r="344" spans="17:17" x14ac:dyDescent="0.2">
      <c r="Q344" s="5"/>
    </row>
    <row r="345" spans="17:17" x14ac:dyDescent="0.2">
      <c r="Q345" s="5"/>
    </row>
    <row r="346" spans="17:17" x14ac:dyDescent="0.2">
      <c r="Q346" s="5"/>
    </row>
    <row r="347" spans="17:17" x14ac:dyDescent="0.2">
      <c r="Q347" s="5"/>
    </row>
    <row r="348" spans="17:17" x14ac:dyDescent="0.2">
      <c r="Q348" s="5"/>
    </row>
    <row r="349" spans="17:17" hidden="1" x14ac:dyDescent="0.2">
      <c r="Q349" s="10" t="b">
        <f>FALSE</f>
        <v>0</v>
      </c>
    </row>
    <row r="606" spans="17:17" x14ac:dyDescent="0.2">
      <c r="Q606" s="10" t="b">
        <v>0</v>
      </c>
    </row>
    <row r="672" spans="17:17" hidden="1" x14ac:dyDescent="0.2">
      <c r="Q672" s="10" t="b">
        <f>FALSE</f>
        <v>0</v>
      </c>
    </row>
  </sheetData>
  <sheetProtection selectLockedCells="1" selectUnlockedCells="1"/>
  <protectedRanges>
    <protectedRange sqref="P15:Y15" name="Diapazonas4"/>
  </protectedRanges>
  <mergeCells count="117">
    <mergeCell ref="C23:C27"/>
    <mergeCell ref="D25:E25"/>
    <mergeCell ref="D27:E27"/>
    <mergeCell ref="D33:E33"/>
    <mergeCell ref="L28:N29"/>
    <mergeCell ref="D29:E29"/>
    <mergeCell ref="C32:C34"/>
    <mergeCell ref="L32:N34"/>
    <mergeCell ref="I37:J37"/>
    <mergeCell ref="B42:I42"/>
    <mergeCell ref="C43:E43"/>
    <mergeCell ref="C28:C29"/>
    <mergeCell ref="D28:E28"/>
    <mergeCell ref="B31:J31"/>
    <mergeCell ref="D34:E34"/>
    <mergeCell ref="L37:N40"/>
    <mergeCell ref="D38:E38"/>
    <mergeCell ref="I38:J38"/>
    <mergeCell ref="D40:E40"/>
    <mergeCell ref="I40:J40"/>
    <mergeCell ref="D37:E37"/>
    <mergeCell ref="I39:J39"/>
    <mergeCell ref="D39:E39"/>
    <mergeCell ref="L59:N59"/>
    <mergeCell ref="L56:N56"/>
    <mergeCell ref="L49:N49"/>
    <mergeCell ref="L54:N54"/>
    <mergeCell ref="L50:N50"/>
    <mergeCell ref="L53:N53"/>
    <mergeCell ref="L51:N51"/>
    <mergeCell ref="B49:B50"/>
    <mergeCell ref="C46:E46"/>
    <mergeCell ref="D51:E51"/>
    <mergeCell ref="D50:E50"/>
    <mergeCell ref="D49:E49"/>
    <mergeCell ref="B48:I48"/>
    <mergeCell ref="D54:E54"/>
    <mergeCell ref="D53:E53"/>
    <mergeCell ref="C49:C50"/>
    <mergeCell ref="D52:E52"/>
    <mergeCell ref="C51:C52"/>
    <mergeCell ref="B51:B52"/>
    <mergeCell ref="A79:J79"/>
    <mergeCell ref="D55:E55"/>
    <mergeCell ref="A67:C67"/>
    <mergeCell ref="A69:C69"/>
    <mergeCell ref="G76:J76"/>
    <mergeCell ref="G77:J77"/>
    <mergeCell ref="D59:E59"/>
    <mergeCell ref="D56:E56"/>
    <mergeCell ref="D58:E58"/>
    <mergeCell ref="C57:C58"/>
    <mergeCell ref="B57:B58"/>
    <mergeCell ref="D57:E57"/>
    <mergeCell ref="X11:X12"/>
    <mergeCell ref="Y11:Y12"/>
    <mergeCell ref="A13:A29"/>
    <mergeCell ref="B13:B14"/>
    <mergeCell ref="C13:C14"/>
    <mergeCell ref="D13:E13"/>
    <mergeCell ref="D17:E17"/>
    <mergeCell ref="L13:N14"/>
    <mergeCell ref="D14:E14"/>
    <mergeCell ref="D15:E15"/>
    <mergeCell ref="L15:N15"/>
    <mergeCell ref="I17:J17"/>
    <mergeCell ref="L17:N17"/>
    <mergeCell ref="L18:N19"/>
    <mergeCell ref="D19:E19"/>
    <mergeCell ref="L20:N22"/>
    <mergeCell ref="D21:E21"/>
    <mergeCell ref="D22:E22"/>
    <mergeCell ref="L23:N27"/>
    <mergeCell ref="D26:E26"/>
    <mergeCell ref="D23:E23"/>
    <mergeCell ref="D24:E24"/>
    <mergeCell ref="B20:B22"/>
    <mergeCell ref="C20:C22"/>
    <mergeCell ref="U11:U12"/>
    <mergeCell ref="V11:V12"/>
    <mergeCell ref="W11:W12"/>
    <mergeCell ref="Q11:Q12"/>
    <mergeCell ref="G7:H7"/>
    <mergeCell ref="B11:B12"/>
    <mergeCell ref="C11:C12"/>
    <mergeCell ref="D11:E12"/>
    <mergeCell ref="F11:F12"/>
    <mergeCell ref="G11:H11"/>
    <mergeCell ref="R11:R12"/>
    <mergeCell ref="S11:S12"/>
    <mergeCell ref="T11:T12"/>
    <mergeCell ref="I11:I12"/>
    <mergeCell ref="J11:J12"/>
    <mergeCell ref="C45:E45"/>
    <mergeCell ref="L58:N58"/>
    <mergeCell ref="C55:C56"/>
    <mergeCell ref="B55:B56"/>
    <mergeCell ref="A1:J1"/>
    <mergeCell ref="A2:J3"/>
    <mergeCell ref="E5:F5"/>
    <mergeCell ref="G5:J5"/>
    <mergeCell ref="P11:P12"/>
    <mergeCell ref="D20:E20"/>
    <mergeCell ref="L16:N16"/>
    <mergeCell ref="B18:B19"/>
    <mergeCell ref="C18:C19"/>
    <mergeCell ref="D16:E16"/>
    <mergeCell ref="L55:N55"/>
    <mergeCell ref="D18:E18"/>
    <mergeCell ref="D32:E32"/>
    <mergeCell ref="B36:J36"/>
    <mergeCell ref="B37:B40"/>
    <mergeCell ref="B32:B34"/>
    <mergeCell ref="B23:B27"/>
    <mergeCell ref="B28:B29"/>
    <mergeCell ref="C44:E44"/>
    <mergeCell ref="C37:C40"/>
  </mergeCells>
  <phoneticPr fontId="36" type="noConversion"/>
  <conditionalFormatting sqref="D65 M3">
    <cfRule type="cellIs" dxfId="56" priority="16" stopIfTrue="1" operator="lessThan">
      <formula>8</formula>
    </cfRule>
  </conditionalFormatting>
  <conditionalFormatting sqref="E65 E67 E69">
    <cfRule type="expression" dxfId="55" priority="17" stopIfTrue="1">
      <formula>#REF!=0</formula>
    </cfRule>
    <cfRule type="expression" dxfId="54" priority="18" stopIfTrue="1">
      <formula>#REF!=1</formula>
    </cfRule>
  </conditionalFormatting>
  <conditionalFormatting sqref="D69 D67 M7 M5">
    <cfRule type="cellIs" dxfId="53" priority="19" stopIfTrue="1" operator="notBetween">
      <formula>28</formula>
      <formula>35</formula>
    </cfRule>
  </conditionalFormatting>
  <conditionalFormatting sqref="C46:E46">
    <cfRule type="expression" dxfId="52" priority="25" stopIfTrue="1">
      <formula>$S$46=1</formula>
    </cfRule>
  </conditionalFormatting>
  <conditionalFormatting sqref="O29 O23:O27">
    <cfRule type="cellIs" dxfId="51" priority="29" stopIfTrue="1" operator="equal">
      <formula>"Privaloma pasirinkti vieną menų arba technologijų dalyką"</formula>
    </cfRule>
  </conditionalFormatting>
  <conditionalFormatting sqref="D30:E30 D35:E35">
    <cfRule type="expression" dxfId="50" priority="30" stopIfTrue="1">
      <formula>#REF!*#REF!=1</formula>
    </cfRule>
  </conditionalFormatting>
  <conditionalFormatting sqref="D38:E38">
    <cfRule type="expression" dxfId="49" priority="31" stopIfTrue="1">
      <formula>$S$38*$T$38=1</formula>
    </cfRule>
  </conditionalFormatting>
  <conditionalFormatting sqref="D40:E40">
    <cfRule type="expression" dxfId="48" priority="32" stopIfTrue="1">
      <formula>$S$40*$T$40=1</formula>
    </cfRule>
  </conditionalFormatting>
  <conditionalFormatting sqref="D37:E37">
    <cfRule type="expression" dxfId="47" priority="33" stopIfTrue="1">
      <formula>$S$37*$T$37=1</formula>
    </cfRule>
  </conditionalFormatting>
  <conditionalFormatting sqref="L28:N29">
    <cfRule type="cellIs" dxfId="46" priority="37" stopIfTrue="1" operator="equal">
      <formula>"Privaloma pasirinkti vieną kūno kultūros dalyką"</formula>
    </cfRule>
  </conditionalFormatting>
  <conditionalFormatting sqref="C28:C29">
    <cfRule type="expression" dxfId="45" priority="38" stopIfTrue="1">
      <formula>$T$28=0</formula>
    </cfRule>
  </conditionalFormatting>
  <conditionalFormatting sqref="D28:E28">
    <cfRule type="expression" dxfId="44" priority="39" stopIfTrue="1">
      <formula>$S$28*$T$28=1</formula>
    </cfRule>
  </conditionalFormatting>
  <conditionalFormatting sqref="D29:E29">
    <cfRule type="expression" dxfId="43" priority="40" stopIfTrue="1">
      <formula>$S$29*$T$29=1</formula>
    </cfRule>
  </conditionalFormatting>
  <conditionalFormatting sqref="D26:E26">
    <cfRule type="expression" dxfId="42" priority="43" stopIfTrue="1">
      <formula>$S$26*$T$26=1</formula>
    </cfRule>
  </conditionalFormatting>
  <conditionalFormatting sqref="D25:E25">
    <cfRule type="expression" dxfId="41" priority="45" stopIfTrue="1">
      <formula>$S$25*$T$25=1</formula>
    </cfRule>
  </conditionalFormatting>
  <conditionalFormatting sqref="O20:O22">
    <cfRule type="cellIs" dxfId="40" priority="47" stopIfTrue="1" operator="equal">
      <formula>"Privaloma pasirinkti bent vieną iš gamtos mokslų"</formula>
    </cfRule>
  </conditionalFormatting>
  <conditionalFormatting sqref="D19:F19">
    <cfRule type="expression" dxfId="39" priority="48" stopIfTrue="1">
      <formula>$S$19=1</formula>
    </cfRule>
  </conditionalFormatting>
  <conditionalFormatting sqref="D18 F18">
    <cfRule type="expression" dxfId="38" priority="50" stopIfTrue="1">
      <formula>$S$18=1</formula>
    </cfRule>
  </conditionalFormatting>
  <conditionalFormatting sqref="O18:O19">
    <cfRule type="cellIs" dxfId="37" priority="51" stopIfTrue="1" operator="equal">
      <formula>"Privaloma pasirinkti bent vieną iš socialinių mokslų"</formula>
    </cfRule>
  </conditionalFormatting>
  <conditionalFormatting sqref="O17">
    <cfRule type="cellIs" dxfId="36" priority="52" stopIfTrue="1" operator="equal">
      <formula>"Privaloma pasirinkti pirmąją užsienio kalbą"</formula>
    </cfRule>
  </conditionalFormatting>
  <conditionalFormatting sqref="D15:F15 F16">
    <cfRule type="expression" dxfId="35" priority="53" stopIfTrue="1">
      <formula>$S$15=1</formula>
    </cfRule>
  </conditionalFormatting>
  <conditionalFormatting sqref="O15:O16">
    <cfRule type="cellIs" dxfId="34" priority="54" stopIfTrue="1" operator="equal">
      <formula>"Privaloma pasirinkti lietuvių k. A arba B kursą"</formula>
    </cfRule>
  </conditionalFormatting>
  <conditionalFormatting sqref="C20">
    <cfRule type="expression" dxfId="33" priority="55" stopIfTrue="1">
      <formula>$T$20=0</formula>
    </cfRule>
  </conditionalFormatting>
  <conditionalFormatting sqref="D23:E23">
    <cfRule type="expression" dxfId="32" priority="56" stopIfTrue="1">
      <formula>$S$23*$T$23=1</formula>
    </cfRule>
  </conditionalFormatting>
  <conditionalFormatting sqref="D24:E24">
    <cfRule type="expression" dxfId="31" priority="59" stopIfTrue="1">
      <formula>$S$24*$T$24=1</formula>
    </cfRule>
  </conditionalFormatting>
  <conditionalFormatting sqref="C15">
    <cfRule type="expression" dxfId="30" priority="60" stopIfTrue="1">
      <formula>$S$15=0</formula>
    </cfRule>
  </conditionalFormatting>
  <conditionalFormatting sqref="C17">
    <cfRule type="expression" dxfId="29" priority="61" stopIfTrue="1">
      <formula>$S$17=0</formula>
    </cfRule>
  </conditionalFormatting>
  <conditionalFormatting sqref="C18:C19">
    <cfRule type="expression" dxfId="28" priority="62" stopIfTrue="1">
      <formula>$T$18=0</formula>
    </cfRule>
  </conditionalFormatting>
  <conditionalFormatting sqref="L13:O14">
    <cfRule type="cellIs" dxfId="27" priority="65" stopIfTrue="1" operator="equal">
      <formula>"Privaloma pasirinkti vieną dorinio ugdymo dalyką"</formula>
    </cfRule>
  </conditionalFormatting>
  <conditionalFormatting sqref="D13:E13">
    <cfRule type="expression" dxfId="26" priority="66" stopIfTrue="1">
      <formula>$S$13=1</formula>
    </cfRule>
  </conditionalFormatting>
  <conditionalFormatting sqref="C13:C14">
    <cfRule type="expression" dxfId="25" priority="67" stopIfTrue="1">
      <formula>$T$13=0</formula>
    </cfRule>
  </conditionalFormatting>
  <conditionalFormatting sqref="D14:E14">
    <cfRule type="expression" dxfId="24" priority="68" stopIfTrue="1">
      <formula>$S$14=1</formula>
    </cfRule>
  </conditionalFormatting>
  <conditionalFormatting sqref="C23">
    <cfRule type="expression" dxfId="23" priority="69" stopIfTrue="1">
      <formula>$T$23=0</formula>
    </cfRule>
  </conditionalFormatting>
  <conditionalFormatting sqref="D17:E17">
    <cfRule type="expression" dxfId="22" priority="70" stopIfTrue="1">
      <formula>$S$17=1</formula>
    </cfRule>
  </conditionalFormatting>
  <conditionalFormatting sqref="D20:E20">
    <cfRule type="expression" dxfId="21" priority="75" stopIfTrue="1">
      <formula>$S$20=1</formula>
    </cfRule>
  </conditionalFormatting>
  <conditionalFormatting sqref="D21:E21">
    <cfRule type="expression" dxfId="20" priority="76" stopIfTrue="1">
      <formula>$S$21=1</formula>
    </cfRule>
  </conditionalFormatting>
  <conditionalFormatting sqref="D22:E22">
    <cfRule type="expression" dxfId="19" priority="77" stopIfTrue="1">
      <formula>$S$22=1</formula>
    </cfRule>
  </conditionalFormatting>
  <conditionalFormatting sqref="C43:E43">
    <cfRule type="expression" dxfId="18" priority="80" stopIfTrue="1">
      <formula>$S$43=1</formula>
    </cfRule>
  </conditionalFormatting>
  <conditionalFormatting sqref="C44:E44">
    <cfRule type="expression" dxfId="17" priority="81" stopIfTrue="1">
      <formula>$S$44=1</formula>
    </cfRule>
  </conditionalFormatting>
  <conditionalFormatting sqref="L17:N17">
    <cfRule type="cellIs" dxfId="16" priority="85" stopIfTrue="1" operator="equal">
      <formula>"Privaloma pasirinkti užsienio kalbą (ir modulį B2 kursui)"</formula>
    </cfRule>
  </conditionalFormatting>
  <conditionalFormatting sqref="L18:N19">
    <cfRule type="cellIs" dxfId="15" priority="86" stopIfTrue="1" operator="equal">
      <formula>"Privaloma pasirinkti bent vieną socialinio ugdymo dalyką (ir modulį A kursui)"</formula>
    </cfRule>
  </conditionalFormatting>
  <conditionalFormatting sqref="L20:N22">
    <cfRule type="cellIs" dxfId="14" priority="88" stopIfTrue="1" operator="equal">
      <formula>"Privaloma pasirinkti bent vieną gamtamokslinio ugdymo dalyką (ir modulį A kursui)"</formula>
    </cfRule>
  </conditionalFormatting>
  <conditionalFormatting sqref="L23:N27">
    <cfRule type="cellIs" dxfId="13" priority="89" stopIfTrue="1" operator="equal">
      <formula>"Privaloma pasirinkti vieną menų ar technologijų dalyką"</formula>
    </cfRule>
  </conditionalFormatting>
  <conditionalFormatting sqref="O32:O34">
    <cfRule type="cellIs" dxfId="12" priority="10" stopIfTrue="1" operator="equal">
      <formula>"Privaloma pasirinkti matematikos A arba B kursą"</formula>
    </cfRule>
  </conditionalFormatting>
  <conditionalFormatting sqref="C32">
    <cfRule type="expression" dxfId="11" priority="11" stopIfTrue="1">
      <formula>#REF!=0</formula>
    </cfRule>
  </conditionalFormatting>
  <conditionalFormatting sqref="L35:N35 L32">
    <cfRule type="cellIs" dxfId="10" priority="14" stopIfTrue="1" operator="equal">
      <formula>"Galima pasirinkti informacinių technologijų A arba B kursą"</formula>
    </cfRule>
  </conditionalFormatting>
  <conditionalFormatting sqref="D32:E32">
    <cfRule type="expression" dxfId="9" priority="144" stopIfTrue="1">
      <formula>$S$32*$T$32=1</formula>
    </cfRule>
  </conditionalFormatting>
  <conditionalFormatting sqref="L15:N15">
    <cfRule type="cellIs" dxfId="8" priority="145" stopIfTrue="1" operator="equal">
      <formula>"Privaloma pasirinkti gimtąją kalbą (ir modulį A kursui)"</formula>
    </cfRule>
  </conditionalFormatting>
  <conditionalFormatting sqref="D33:E33">
    <cfRule type="expression" dxfId="7" priority="146" stopIfTrue="1">
      <formula>$S$33*$T$33=1</formula>
    </cfRule>
  </conditionalFormatting>
  <conditionalFormatting sqref="L16:N16">
    <cfRule type="cellIs" dxfId="6" priority="7" stopIfTrue="1" operator="equal">
      <formula>"Privaloma pasirinkti matematiką (ir modulį A kursui)"</formula>
    </cfRule>
  </conditionalFormatting>
  <conditionalFormatting sqref="D16:E16">
    <cfRule type="expression" dxfId="5" priority="5" stopIfTrue="1">
      <formula>$S$16=1</formula>
    </cfRule>
    <cfRule type="expression" dxfId="4" priority="149" stopIfTrue="1">
      <formula>#REF!=1</formula>
    </cfRule>
  </conditionalFormatting>
  <conditionalFormatting sqref="C16">
    <cfRule type="expression" dxfId="3" priority="6" stopIfTrue="1">
      <formula>$S$16=0</formula>
    </cfRule>
  </conditionalFormatting>
  <conditionalFormatting sqref="D34:E34">
    <cfRule type="expression" priority="4" stopIfTrue="1">
      <formula>$S$34*$T$34=1</formula>
    </cfRule>
  </conditionalFormatting>
  <conditionalFormatting sqref="D27:E27">
    <cfRule type="expression" dxfId="2" priority="3" stopIfTrue="1">
      <formula>$S$27*$T$27=1</formula>
    </cfRule>
  </conditionalFormatting>
  <conditionalFormatting sqref="D39:E39">
    <cfRule type="expression" dxfId="1" priority="2" stopIfTrue="1">
      <formula>$S$39*$T$39=1</formula>
    </cfRule>
  </conditionalFormatting>
  <conditionalFormatting sqref="C45:E45">
    <cfRule type="expression" dxfId="0" priority="1" stopIfTrue="1">
      <formula>$S$45=1</formula>
    </cfRule>
  </conditionalFormatting>
  <printOptions horizontalCentered="1" verticalCentered="1"/>
  <pageMargins left="0.25" right="0.25" top="0.75" bottom="0.75" header="0.3" footer="0.3"/>
  <pageSetup paperSize="9" firstPageNumber="0" orientation="portrait" horizontalDpi="300" verticalDpi="300" r:id="rId1"/>
  <headerFooter alignWithMargins="0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200025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8</xdr:col>
                    <xdr:colOff>200025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17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200025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1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200025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1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200025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9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200025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20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200025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2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200025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2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200025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2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200025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21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200025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211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9</xdr:col>
                    <xdr:colOff>200025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212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200025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217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9</xdr:col>
                    <xdr:colOff>200025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8</xdr:col>
                    <xdr:colOff>200025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200025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2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2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200025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29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200025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314325</xdr:rowOff>
                  </from>
                  <to>
                    <xdr:col>8</xdr:col>
                    <xdr:colOff>200025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3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95250</xdr:rowOff>
                  </from>
                  <to>
                    <xdr:col>8</xdr:col>
                    <xdr:colOff>200025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31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8</xdr:col>
                    <xdr:colOff>200025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3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200025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3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200025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3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3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8</xdr:col>
                    <xdr:colOff>200025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2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8</xdr:col>
                    <xdr:colOff>200025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2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200025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2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200025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2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8</xdr:col>
                    <xdr:colOff>200025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66675</xdr:rowOff>
                  </from>
                  <to>
                    <xdr:col>8</xdr:col>
                    <xdr:colOff>200025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200025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8</xdr:col>
                    <xdr:colOff>200025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8" name="Check Box 302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49</xdr:row>
                    <xdr:rowOff>76200</xdr:rowOff>
                  </from>
                  <to>
                    <xdr:col>8</xdr:col>
                    <xdr:colOff>190500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9" name="Check Box 19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200025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0" name="Check Box 19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9</xdr:col>
                    <xdr:colOff>200025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1" name="Check Box 97">
              <controlPr defaultSize="0" autoFill="0" autoLine="0" autoPict="0">
                <anchor moveWithCells="1">
                  <from>
                    <xdr:col>8</xdr:col>
                    <xdr:colOff>28575</xdr:colOff>
                    <xdr:row>33</xdr:row>
                    <xdr:rowOff>0</xdr:rowOff>
                  </from>
                  <to>
                    <xdr:col>8</xdr:col>
                    <xdr:colOff>333375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2" name="Check Box 103">
              <controlPr defaultSize="0" autoFill="0" autoLine="0" autoPict="0">
                <anchor moveWithCells="1">
                  <from>
                    <xdr:col>7</xdr:col>
                    <xdr:colOff>257175</xdr:colOff>
                    <xdr:row>14</xdr:row>
                    <xdr:rowOff>171450</xdr:rowOff>
                  </from>
                  <to>
                    <xdr:col>8</xdr:col>
                    <xdr:colOff>295275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3" name="Check Box 10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180975</xdr:rowOff>
                  </from>
                  <to>
                    <xdr:col>9</xdr:col>
                    <xdr:colOff>304800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4" name="Check Box 105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161925</xdr:rowOff>
                  </from>
                  <to>
                    <xdr:col>8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5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6" name="Check Box 110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9</xdr:col>
                    <xdr:colOff>276225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7" name="Check Box 111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180975</xdr:rowOff>
                  </from>
                  <to>
                    <xdr:col>8</xdr:col>
                    <xdr:colOff>180975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8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200025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9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8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4"/>
  <sheetViews>
    <sheetView view="pageBreakPreview" zoomScaleSheetLayoutView="100" workbookViewId="0">
      <selection activeCell="BW4" sqref="BW4"/>
    </sheetView>
  </sheetViews>
  <sheetFormatPr defaultRowHeight="12.75" x14ac:dyDescent="0.2"/>
  <cols>
    <col min="1" max="1" width="6.140625" style="166" customWidth="1"/>
    <col min="2" max="2" width="19.140625" style="166" customWidth="1"/>
    <col min="3" max="3" width="3.28515625" style="166" customWidth="1"/>
    <col min="4" max="5" width="4.28515625" style="166" customWidth="1"/>
    <col min="6" max="13" width="3" style="166" customWidth="1"/>
    <col min="14" max="14" width="3" style="167" customWidth="1"/>
    <col min="15" max="37" width="3" style="166" customWidth="1"/>
    <col min="38" max="40" width="4.7109375" style="166" customWidth="1"/>
    <col min="41" max="41" width="3.140625" style="166" customWidth="1"/>
    <col min="42" max="43" width="3.85546875" style="166" customWidth="1"/>
    <col min="44" max="47" width="3" style="166" customWidth="1"/>
    <col min="48" max="48" width="3.42578125" style="166" customWidth="1"/>
    <col min="49" max="52" width="4.7109375" style="166" customWidth="1"/>
    <col min="53" max="53" width="3.5703125" style="166" customWidth="1"/>
    <col min="54" max="54" width="3.5703125" style="168" customWidth="1"/>
    <col min="55" max="59" width="3.5703125" style="166" customWidth="1"/>
    <col min="60" max="62" width="4.5703125" style="166" customWidth="1"/>
    <col min="63" max="72" width="4.28515625" style="166" customWidth="1"/>
    <col min="73" max="16384" width="9.140625" style="166"/>
  </cols>
  <sheetData>
    <row r="1" spans="1:75" ht="13.5" customHeight="1" x14ac:dyDescent="0.2">
      <c r="A1" s="404" t="s">
        <v>4</v>
      </c>
      <c r="B1" s="405" t="s">
        <v>65</v>
      </c>
      <c r="C1" s="405" t="s">
        <v>66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169"/>
      <c r="BJ1" s="169"/>
      <c r="BK1" s="405"/>
      <c r="BL1" s="405"/>
      <c r="BM1" s="405"/>
      <c r="BN1" s="405"/>
      <c r="BO1" s="405"/>
      <c r="BP1" s="405"/>
      <c r="BQ1" s="405"/>
      <c r="BR1" s="405"/>
      <c r="BS1" s="169"/>
      <c r="BT1" s="169"/>
      <c r="BU1" s="405" t="s">
        <v>67</v>
      </c>
      <c r="BV1" s="408" t="s">
        <v>68</v>
      </c>
      <c r="BW1" s="409" t="s">
        <v>69</v>
      </c>
    </row>
    <row r="2" spans="1:75" ht="57.75" customHeight="1" x14ac:dyDescent="0.2">
      <c r="A2" s="404"/>
      <c r="B2" s="405"/>
      <c r="C2" s="405" t="s">
        <v>22</v>
      </c>
      <c r="D2" s="405"/>
      <c r="E2" s="169"/>
      <c r="F2" s="406" t="s">
        <v>70</v>
      </c>
      <c r="G2" s="406" t="s">
        <v>71</v>
      </c>
      <c r="H2" s="406" t="s">
        <v>72</v>
      </c>
      <c r="I2" s="405" t="s">
        <v>73</v>
      </c>
      <c r="J2" s="405"/>
      <c r="K2" s="405"/>
      <c r="L2" s="405"/>
      <c r="M2" s="405"/>
      <c r="N2" s="405"/>
      <c r="O2" s="405" t="s">
        <v>29</v>
      </c>
      <c r="P2" s="405"/>
      <c r="Q2" s="405"/>
      <c r="R2" s="405"/>
      <c r="S2" s="405"/>
      <c r="T2" s="406" t="s">
        <v>74</v>
      </c>
      <c r="U2" s="406" t="s">
        <v>75</v>
      </c>
      <c r="V2" s="406" t="s">
        <v>76</v>
      </c>
      <c r="W2" s="405" t="s">
        <v>36</v>
      </c>
      <c r="X2" s="405"/>
      <c r="Y2" s="405"/>
      <c r="Z2" s="405"/>
      <c r="AA2" s="405"/>
      <c r="AB2" s="405"/>
      <c r="AC2" s="408" t="s">
        <v>77</v>
      </c>
      <c r="AD2" s="408"/>
      <c r="AE2" s="408"/>
      <c r="AF2" s="408"/>
      <c r="AG2" s="408"/>
      <c r="AH2" s="408"/>
      <c r="AI2" s="408"/>
      <c r="AJ2" s="408"/>
      <c r="AK2" s="414" t="s">
        <v>78</v>
      </c>
      <c r="AL2" s="414"/>
      <c r="AM2" s="414"/>
      <c r="AN2" s="414"/>
      <c r="AO2" s="414"/>
      <c r="AP2" s="405" t="s">
        <v>44</v>
      </c>
      <c r="AQ2" s="405"/>
      <c r="AR2" s="405" t="s">
        <v>79</v>
      </c>
      <c r="AS2" s="405"/>
      <c r="AT2" s="405"/>
      <c r="AU2" s="405"/>
      <c r="AV2" s="407" t="s">
        <v>80</v>
      </c>
      <c r="AW2" s="407" t="s">
        <v>81</v>
      </c>
      <c r="AX2" s="407" t="s">
        <v>82</v>
      </c>
      <c r="AY2" s="407" t="s">
        <v>83</v>
      </c>
      <c r="AZ2" s="170"/>
      <c r="BA2" s="413" t="s">
        <v>53</v>
      </c>
      <c r="BB2" s="415" t="s">
        <v>84</v>
      </c>
      <c r="BC2" s="413" t="s">
        <v>85</v>
      </c>
      <c r="BD2" s="413" t="s">
        <v>86</v>
      </c>
      <c r="BE2" s="413" t="s">
        <v>51</v>
      </c>
      <c r="BF2" s="413" t="s">
        <v>54</v>
      </c>
      <c r="BG2" s="413" t="s">
        <v>87</v>
      </c>
      <c r="BH2" s="413" t="s">
        <v>41</v>
      </c>
      <c r="BI2" s="172"/>
      <c r="BJ2" s="410" t="s">
        <v>88</v>
      </c>
      <c r="BK2" s="410"/>
      <c r="BL2" s="173" t="s">
        <v>32</v>
      </c>
      <c r="BM2" s="174" t="s">
        <v>37</v>
      </c>
      <c r="BN2" s="411" t="s">
        <v>38</v>
      </c>
      <c r="BO2" s="411"/>
      <c r="BP2" s="174" t="s">
        <v>39</v>
      </c>
      <c r="BQ2" s="412" t="s">
        <v>89</v>
      </c>
      <c r="BR2" s="412"/>
      <c r="BS2" s="413" t="s">
        <v>90</v>
      </c>
      <c r="BT2" s="413" t="s">
        <v>91</v>
      </c>
      <c r="BU2" s="405"/>
      <c r="BV2" s="408"/>
      <c r="BW2" s="409"/>
    </row>
    <row r="3" spans="1:75" s="167" customFormat="1" ht="116.25" customHeight="1" x14ac:dyDescent="0.2">
      <c r="A3" s="404"/>
      <c r="B3" s="405"/>
      <c r="C3" s="171" t="s">
        <v>92</v>
      </c>
      <c r="D3" s="171" t="s">
        <v>25</v>
      </c>
      <c r="E3" s="171" t="s">
        <v>93</v>
      </c>
      <c r="F3" s="406"/>
      <c r="G3" s="406"/>
      <c r="H3" s="406"/>
      <c r="I3" s="171" t="s">
        <v>94</v>
      </c>
      <c r="J3" s="171" t="s">
        <v>95</v>
      </c>
      <c r="K3" s="171" t="s">
        <v>96</v>
      </c>
      <c r="L3" s="171" t="s">
        <v>97</v>
      </c>
      <c r="M3" s="171" t="s">
        <v>98</v>
      </c>
      <c r="N3" s="171" t="s">
        <v>99</v>
      </c>
      <c r="O3" s="171" t="s">
        <v>100</v>
      </c>
      <c r="P3" s="171" t="s">
        <v>101</v>
      </c>
      <c r="Q3" s="171" t="s">
        <v>102</v>
      </c>
      <c r="R3" s="171" t="s">
        <v>103</v>
      </c>
      <c r="S3" s="171" t="s">
        <v>104</v>
      </c>
      <c r="T3" s="406"/>
      <c r="U3" s="406"/>
      <c r="V3" s="406"/>
      <c r="W3" s="171" t="s">
        <v>105</v>
      </c>
      <c r="X3" s="171" t="s">
        <v>106</v>
      </c>
      <c r="Y3" s="171" t="s">
        <v>107</v>
      </c>
      <c r="Z3" s="171" t="s">
        <v>108</v>
      </c>
      <c r="AA3" s="171" t="s">
        <v>109</v>
      </c>
      <c r="AB3" s="171" t="s">
        <v>110</v>
      </c>
      <c r="AC3" s="171" t="s">
        <v>111</v>
      </c>
      <c r="AD3" s="171" t="s">
        <v>112</v>
      </c>
      <c r="AE3" s="171" t="s">
        <v>113</v>
      </c>
      <c r="AF3" s="171" t="s">
        <v>114</v>
      </c>
      <c r="AG3" s="171" t="s">
        <v>115</v>
      </c>
      <c r="AH3" s="171" t="s">
        <v>116</v>
      </c>
      <c r="AI3" s="171" t="s">
        <v>117</v>
      </c>
      <c r="AJ3" s="175" t="s">
        <v>118</v>
      </c>
      <c r="AK3" s="175" t="s">
        <v>119</v>
      </c>
      <c r="AL3" s="175" t="s">
        <v>120</v>
      </c>
      <c r="AM3" s="171" t="s">
        <v>121</v>
      </c>
      <c r="AN3" s="171" t="s">
        <v>122</v>
      </c>
      <c r="AO3" s="175" t="s">
        <v>123</v>
      </c>
      <c r="AP3" s="171" t="s">
        <v>124</v>
      </c>
      <c r="AQ3" s="171" t="s">
        <v>125</v>
      </c>
      <c r="AR3" s="171" t="s">
        <v>126</v>
      </c>
      <c r="AS3" s="171" t="s">
        <v>127</v>
      </c>
      <c r="AT3" s="171" t="s">
        <v>56</v>
      </c>
      <c r="AU3" s="171" t="s">
        <v>128</v>
      </c>
      <c r="AV3" s="407"/>
      <c r="AW3" s="407"/>
      <c r="AX3" s="407"/>
      <c r="AY3" s="407"/>
      <c r="AZ3" s="170" t="s">
        <v>129</v>
      </c>
      <c r="BA3" s="413"/>
      <c r="BB3" s="415"/>
      <c r="BC3" s="413"/>
      <c r="BD3" s="413"/>
      <c r="BE3" s="413"/>
      <c r="BF3" s="413"/>
      <c r="BG3" s="413"/>
      <c r="BH3" s="413"/>
      <c r="BI3" s="171" t="s">
        <v>130</v>
      </c>
      <c r="BJ3" s="171" t="s">
        <v>131</v>
      </c>
      <c r="BK3" s="175" t="s">
        <v>132</v>
      </c>
      <c r="BL3" s="175" t="s">
        <v>133</v>
      </c>
      <c r="BM3" s="171" t="s">
        <v>134</v>
      </c>
      <c r="BN3" s="171" t="s">
        <v>135</v>
      </c>
      <c r="BO3" s="176" t="s">
        <v>136</v>
      </c>
      <c r="BP3" s="171" t="s">
        <v>137</v>
      </c>
      <c r="BQ3" s="171" t="s">
        <v>138</v>
      </c>
      <c r="BR3" s="177" t="s">
        <v>139</v>
      </c>
      <c r="BS3" s="413"/>
      <c r="BT3" s="413"/>
      <c r="BU3" s="405"/>
      <c r="BV3" s="408"/>
      <c r="BW3" s="409"/>
    </row>
    <row r="4" spans="1:75" s="167" customFormat="1" x14ac:dyDescent="0.2">
      <c r="A4" s="178">
        <f>Anketa!G7</f>
        <v>0</v>
      </c>
      <c r="B4" s="178" t="str">
        <f>Anketa!G5&amp;" "&amp;Anketa!D5</f>
        <v xml:space="preserve"> </v>
      </c>
      <c r="C4" s="178" t="str">
        <f>Anketa!X13</f>
        <v/>
      </c>
      <c r="D4" s="178" t="e">
        <f>Anketa!#REF!</f>
        <v>#REF!</v>
      </c>
      <c r="E4" s="178" t="e">
        <f>Anketa!#REF!</f>
        <v>#REF!</v>
      </c>
      <c r="F4" s="178" t="str">
        <f>IF(Anketa!Q15,Anketa!X15,"")</f>
        <v/>
      </c>
      <c r="G4" s="178" t="str">
        <f>IF(Anketa!R15,Anketa!X15,"")</f>
        <v/>
      </c>
      <c r="H4" s="178" t="e">
        <f>IF(Anketa!#REF!,Anketa!X15,"")</f>
        <v>#REF!</v>
      </c>
      <c r="I4" s="178" t="str">
        <f>IF(Anketa!R17,Anketa!X17,"")</f>
        <v/>
      </c>
      <c r="J4" s="178" t="e">
        <f>IF(Anketa!#REF!,Anketa!X17,"")</f>
        <v>#REF!</v>
      </c>
      <c r="K4" s="178" t="e">
        <f>IF(Anketa!#REF!,Anketa!#REF!,"")</f>
        <v>#REF!</v>
      </c>
      <c r="L4" s="178" t="e">
        <f>IF(Anketa!#REF!,Anketa!#REF!,"")</f>
        <v>#REF!</v>
      </c>
      <c r="M4" s="178" t="e">
        <f>IF(Anketa!#REF!,Anketa!#REF!,"")</f>
        <v>#REF!</v>
      </c>
      <c r="N4" s="178" t="e">
        <f>IF(Anketa!#REF!,Anketa!#REF!,"")</f>
        <v>#REF!</v>
      </c>
      <c r="O4" s="178" t="str">
        <f>IF(Anketa!Q18,Anketa!X18,"")</f>
        <v/>
      </c>
      <c r="P4" s="178" t="str">
        <f>IF(Anketa!R18,Anketa!X18,"")</f>
        <v/>
      </c>
      <c r="Q4" s="178" t="e">
        <f>IF(Anketa!#REF!,Anketa!X18,"")</f>
        <v>#REF!</v>
      </c>
      <c r="R4" s="178" t="str">
        <f>IF(Anketa!Q19,Anketa!X19,"")</f>
        <v/>
      </c>
      <c r="S4" s="178" t="str">
        <f>IF(Anketa!R19,Anketa!X19,"")</f>
        <v/>
      </c>
      <c r="T4" s="178" t="e">
        <f>IF(Anketa!#REF!,Anketa!#REF!,"")</f>
        <v>#REF!</v>
      </c>
      <c r="U4" s="178" t="e">
        <f>IF(Anketa!#REF!,Anketa!#REF!,"")</f>
        <v>#REF!</v>
      </c>
      <c r="V4" s="178" t="e">
        <f>IF(Anketa!#REF!,Anketa!#REF!,"")</f>
        <v>#REF!</v>
      </c>
      <c r="W4" s="178" t="str">
        <f>IF(Anketa!Q20,Anketa!X20,"")</f>
        <v/>
      </c>
      <c r="X4" s="178" t="str">
        <f>IF(Anketa!R20,Anketa!X20,"")</f>
        <v/>
      </c>
      <c r="Y4" s="178" t="str">
        <f>IF(Anketa!Q21,Anketa!X21,"")</f>
        <v/>
      </c>
      <c r="Z4" s="178" t="str">
        <f>IF(Anketa!R21,Anketa!X21,"")</f>
        <v/>
      </c>
      <c r="AA4" s="178" t="str">
        <f>IF(Anketa!Q22,Anketa!X22,"")</f>
        <v/>
      </c>
      <c r="AB4" s="178" t="str">
        <f>IF(Anketa!R22,Anketa!X22,"")</f>
        <v/>
      </c>
      <c r="AC4" s="178" t="str">
        <f>IF(Anketa!Q23,Anketa!X23,"")</f>
        <v/>
      </c>
      <c r="AD4" s="178" t="str">
        <f>IF(Anketa!R23,Anketa!X23,"")</f>
        <v/>
      </c>
      <c r="AE4" s="178" t="e">
        <f>Anketa!#REF!</f>
        <v>#REF!</v>
      </c>
      <c r="AF4" s="178" t="e">
        <f>IF(Anketa!#REF!,Anketa!#REF!,"")</f>
        <v>#REF!</v>
      </c>
      <c r="AG4" s="178" t="e">
        <f>IF(Anketa!#REF!,Anketa!#REF!,"")</f>
        <v>#REF!</v>
      </c>
      <c r="AH4" s="178" t="e">
        <f>IF(Anketa!#REF!,Anketa!#REF!,"")</f>
        <v>#REF!</v>
      </c>
      <c r="AI4" s="178" t="e">
        <f>IF(Anketa!#REF!,Anketa!#REF!,"")</f>
        <v>#REF!</v>
      </c>
      <c r="AJ4" s="178" t="e">
        <f>Anketa!#REF!</f>
        <v>#REF!</v>
      </c>
      <c r="AK4" s="178" t="e">
        <f>Anketa!#REF!</f>
        <v>#REF!</v>
      </c>
      <c r="AL4" s="178" t="e">
        <f>Anketa!#REF!</f>
        <v>#REF!</v>
      </c>
      <c r="AM4" s="178" t="e">
        <f>Anketa!#REF!</f>
        <v>#REF!</v>
      </c>
      <c r="AN4" s="178" t="e">
        <f>Anketa!#REF!</f>
        <v>#REF!</v>
      </c>
      <c r="AO4" s="178" t="e">
        <f>Anketa!#REF!</f>
        <v>#REF!</v>
      </c>
      <c r="AP4" s="178" t="e">
        <f>Anketa!#REF!</f>
        <v>#REF!</v>
      </c>
      <c r="AQ4" s="178" t="e">
        <f>Anketa!#REF!</f>
        <v>#REF!</v>
      </c>
      <c r="AR4" s="178" t="str">
        <f>IF(Anketa!R38,Anketa!X38,"")</f>
        <v/>
      </c>
      <c r="AS4" s="178" t="str">
        <f>IF(Anketa!R40,Anketa!X40,"")</f>
        <v/>
      </c>
      <c r="AT4" s="178" t="e">
        <f>IF(Anketa!#REF!,Anketa!#REF!,"")</f>
        <v>#REF!</v>
      </c>
      <c r="AU4" s="178" t="e">
        <f>IF(Anketa!#REF!,Anketa!#REF!,"")</f>
        <v>#REF!</v>
      </c>
      <c r="AV4" s="178" t="e">
        <f>Anketa!#REF!</f>
        <v>#REF!</v>
      </c>
      <c r="AW4" s="178" t="e">
        <f>Anketa!#REF!</f>
        <v>#REF!</v>
      </c>
      <c r="AX4" s="178" t="e">
        <f>Anketa!#REF!</f>
        <v>#REF!</v>
      </c>
      <c r="AY4" s="178" t="e">
        <f>Anketa!#REF!</f>
        <v>#REF!</v>
      </c>
      <c r="AZ4" s="178" t="e">
        <f>Anketa!#REF!</f>
        <v>#REF!</v>
      </c>
      <c r="BA4" s="178" t="e">
        <f>Anketa!#REF!</f>
        <v>#REF!</v>
      </c>
      <c r="BB4" s="179" t="e">
        <f>Anketa!#REF!</f>
        <v>#REF!</v>
      </c>
      <c r="BC4" s="178" t="e">
        <f>Anketa!#REF!</f>
        <v>#REF!</v>
      </c>
      <c r="BD4" s="178" t="e">
        <f>Anketa!#REF!</f>
        <v>#REF!</v>
      </c>
      <c r="BE4" s="178" t="e">
        <f>Anketa!#REF!</f>
        <v>#REF!</v>
      </c>
      <c r="BF4" s="178" t="e">
        <f>Anketa!#REF!</f>
        <v>#REF!</v>
      </c>
      <c r="BG4" s="178" t="e">
        <f>Anketa!#REF!</f>
        <v>#REF!</v>
      </c>
      <c r="BH4" s="178" t="e">
        <f>Anketa!#REF!</f>
        <v>#REF!</v>
      </c>
      <c r="BI4" s="178" t="e">
        <f>Anketa!#REF!</f>
        <v>#REF!</v>
      </c>
      <c r="BJ4" s="178" t="e">
        <f>Anketa!#REF!</f>
        <v>#REF!</v>
      </c>
      <c r="BK4" s="178" t="e">
        <f>Anketa!#REF!</f>
        <v>#REF!</v>
      </c>
      <c r="BL4" s="178" t="e">
        <f>Anketa!#REF!</f>
        <v>#REF!</v>
      </c>
      <c r="BM4" s="178" t="str">
        <f>Anketa!X51</f>
        <v/>
      </c>
      <c r="BN4" s="178" t="str">
        <f>Anketa!X53</f>
        <v/>
      </c>
      <c r="BO4" s="178" t="e">
        <f>Anketa!#REF!</f>
        <v>#REF!</v>
      </c>
      <c r="BP4" s="178" t="e">
        <f>Anketa!#REF!</f>
        <v>#REF!</v>
      </c>
      <c r="BQ4" s="178" t="e">
        <f>Anketa!#REF!</f>
        <v>#REF!</v>
      </c>
      <c r="BR4" s="180" t="e">
        <f>Anketa!#REF!</f>
        <v>#REF!</v>
      </c>
      <c r="BS4" s="178" t="e">
        <f>Anketa!#REF!</f>
        <v>#REF!</v>
      </c>
      <c r="BT4" s="178" t="e">
        <f>Anketa!#REF!</f>
        <v>#REF!</v>
      </c>
      <c r="BU4" s="178" t="e">
        <f>SUM(C4:BT4)</f>
        <v>#REF!</v>
      </c>
      <c r="BV4" s="181">
        <f>Anketa!D65</f>
        <v>0</v>
      </c>
      <c r="BW4" s="178">
        <f>Anketa!D71</f>
        <v>0</v>
      </c>
    </row>
  </sheetData>
  <sheetProtection selectLockedCells="1" selectUnlockedCells="1"/>
  <mergeCells count="39">
    <mergeCell ref="AR2:AU2"/>
    <mergeCell ref="BG2:BG3"/>
    <mergeCell ref="BH2:BH3"/>
    <mergeCell ref="BA2:BA3"/>
    <mergeCell ref="BB2:BB3"/>
    <mergeCell ref="BC2:BC3"/>
    <mergeCell ref="BD2:BD3"/>
    <mergeCell ref="BE2:BE3"/>
    <mergeCell ref="BF2:BF3"/>
    <mergeCell ref="V2:V3"/>
    <mergeCell ref="W2:AB2"/>
    <mergeCell ref="AC2:AJ2"/>
    <mergeCell ref="AK2:AO2"/>
    <mergeCell ref="AP2:AQ2"/>
    <mergeCell ref="BV1:BV3"/>
    <mergeCell ref="BW1:BW3"/>
    <mergeCell ref="BJ2:BK2"/>
    <mergeCell ref="BN2:BO2"/>
    <mergeCell ref="BQ2:BR2"/>
    <mergeCell ref="BS2:BS3"/>
    <mergeCell ref="BT2:BT3"/>
    <mergeCell ref="BK1:BR1"/>
    <mergeCell ref="BU1:BU3"/>
    <mergeCell ref="A1:A3"/>
    <mergeCell ref="B1:B3"/>
    <mergeCell ref="C1:AQ1"/>
    <mergeCell ref="AR1:BH1"/>
    <mergeCell ref="C2:D2"/>
    <mergeCell ref="F2:F3"/>
    <mergeCell ref="G2:G3"/>
    <mergeCell ref="H2:H3"/>
    <mergeCell ref="I2:N2"/>
    <mergeCell ref="O2:S2"/>
    <mergeCell ref="AV2:AV3"/>
    <mergeCell ref="AW2:AW3"/>
    <mergeCell ref="AX2:AX3"/>
    <mergeCell ref="AY2:AY3"/>
    <mergeCell ref="T2:T3"/>
    <mergeCell ref="U2:U3"/>
  </mergeCells>
  <phoneticPr fontId="36" type="noConversion"/>
  <pageMargins left="0.39374999999999999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Anketa</vt:lpstr>
      <vt:lpstr>Eilute</vt:lpstr>
      <vt:lpstr>Anketa!Print_Area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„Windows“ vartotojas</cp:lastModifiedBy>
  <cp:lastPrinted>2019-04-29T06:06:10Z</cp:lastPrinted>
  <dcterms:created xsi:type="dcterms:W3CDTF">2016-02-03T18:03:50Z</dcterms:created>
  <dcterms:modified xsi:type="dcterms:W3CDTF">2019-04-29T06:07:43Z</dcterms:modified>
</cp:coreProperties>
</file>